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ulia\Desktop\StuRaOwnCLoud\Referat Finanzen\Haushaltspläne\2020\Haushaltsplan\"/>
    </mc:Choice>
  </mc:AlternateContent>
  <xr:revisionPtr revIDLastSave="0" documentId="13_ncr:1_{EB5CEE6A-234C-4142-BFA9-943372BB95F6}" xr6:coauthVersionLast="44" xr6:coauthVersionMax="44" xr10:uidLastSave="{00000000-0000-0000-0000-000000000000}"/>
  <bookViews>
    <workbookView xWindow="-98" yWindow="-98" windowWidth="22695" windowHeight="14746" tabRatio="869" activeTab="1" xr2:uid="{00000000-000D-0000-FFFF-FFFF00000000}"/>
  </bookViews>
  <sheets>
    <sheet name="Hinweise" sheetId="16" r:id="rId1"/>
    <sheet name="Deckblatt" sheetId="1" r:id="rId2"/>
    <sheet name="Beitragsermittlung" sheetId="18" r:id="rId3"/>
    <sheet name="fortgeschr. Mittel+Konto" sheetId="15" r:id="rId4"/>
    <sheet name="Mindestreserve" sheetId="17" r:id="rId5"/>
    <sheet name="Detailblatt I" sheetId="2" r:id="rId6"/>
    <sheet name="Detailblatt II" sheetId="3" r:id="rId7"/>
    <sheet name="Schulungen &amp; Konferenzen" sheetId="14" r:id="rId8"/>
    <sheet name="Finanzen" sheetId="4" r:id="rId9"/>
    <sheet name="Hochschulpolitik" sheetId="5" r:id="rId10"/>
    <sheet name="Internationales" sheetId="6" r:id="rId11"/>
    <sheet name="Kultur" sheetId="7" r:id="rId12"/>
    <sheet name="Öffentlichkeitsarbeit" sheetId="8" r:id="rId13"/>
    <sheet name="Qualitätsmanagement" sheetId="9" r:id="rId14"/>
    <sheet name="Soziales" sheetId="10" r:id="rId15"/>
    <sheet name="Sport" sheetId="11" r:id="rId16"/>
    <sheet name="Studium" sheetId="12" r:id="rId17"/>
    <sheet name="Studentische Verwaltung" sheetId="13" r:id="rId18"/>
  </sheets>
  <functionGroups builtInGroupCount="19"/>
  <calcPr calcId="191029"/>
  <customWorkbookViews>
    <customWorkbookView name="B3N - Persönliche Ansicht" guid="{DCE90488-5D47-411B-84E2-3F0A7D96BA08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5" l="1"/>
  <c r="D4" i="15"/>
  <c r="L9" i="13"/>
  <c r="H9" i="13"/>
  <c r="J9" i="13" s="1"/>
  <c r="E9" i="13"/>
  <c r="I4" i="4"/>
  <c r="F4" i="4"/>
  <c r="M9" i="13" l="1"/>
  <c r="K9" i="13"/>
  <c r="K22" i="2" l="1"/>
  <c r="K19" i="2"/>
  <c r="K18" i="2"/>
  <c r="J19" i="2"/>
  <c r="M20" i="14"/>
  <c r="H20" i="14"/>
  <c r="E20" i="14"/>
  <c r="I5" i="15"/>
  <c r="L19" i="2" l="1"/>
  <c r="I17" i="15"/>
  <c r="M7" i="2"/>
  <c r="H14" i="13" l="1"/>
  <c r="L14" i="13" s="1"/>
  <c r="E14" i="13"/>
  <c r="H12" i="7"/>
  <c r="E12" i="7"/>
  <c r="H7" i="8"/>
  <c r="E7" i="8"/>
  <c r="F9" i="8"/>
  <c r="H11" i="7"/>
  <c r="L11" i="7" s="1"/>
  <c r="E11" i="7"/>
  <c r="H10" i="7"/>
  <c r="J10" i="7" s="1"/>
  <c r="E10" i="7"/>
  <c r="H4" i="9"/>
  <c r="L4" i="9" s="1"/>
  <c r="E4" i="9"/>
  <c r="J14" i="13" l="1"/>
  <c r="J11" i="7"/>
  <c r="M11" i="7" s="1"/>
  <c r="L10" i="7"/>
  <c r="K10" i="7"/>
  <c r="M10" i="7"/>
  <c r="J4" i="9"/>
  <c r="H9" i="7"/>
  <c r="L9" i="7" s="1"/>
  <c r="E9" i="7"/>
  <c r="M14" i="13" l="1"/>
  <c r="K14" i="13"/>
  <c r="K11" i="7"/>
  <c r="K4" i="9"/>
  <c r="M4" i="9"/>
  <c r="J9" i="7"/>
  <c r="L3" i="9"/>
  <c r="L6" i="9" s="1"/>
  <c r="D6" i="9"/>
  <c r="F6" i="9"/>
  <c r="G6" i="9"/>
  <c r="I6" i="9"/>
  <c r="C6" i="9"/>
  <c r="H3" i="9"/>
  <c r="H6" i="9" s="1"/>
  <c r="E3" i="9"/>
  <c r="E6" i="9" s="1"/>
  <c r="M9" i="7" l="1"/>
  <c r="K9" i="7"/>
  <c r="J3" i="9"/>
  <c r="J6" i="9" s="1"/>
  <c r="H12" i="14"/>
  <c r="L12" i="14" s="1"/>
  <c r="E12" i="14"/>
  <c r="K3" i="9" l="1"/>
  <c r="K6" i="9" s="1"/>
  <c r="M3" i="9"/>
  <c r="M6" i="9" s="1"/>
  <c r="J12" i="14"/>
  <c r="M45" i="2"/>
  <c r="D5" i="17"/>
  <c r="G7" i="10"/>
  <c r="M12" i="14" l="1"/>
  <c r="K12" i="14"/>
  <c r="O13" i="2"/>
  <c r="H10" i="14"/>
  <c r="L10" i="14" s="1"/>
  <c r="E10" i="14"/>
  <c r="J10" i="14" l="1"/>
  <c r="M10" i="14" s="1"/>
  <c r="K10" i="14" l="1"/>
  <c r="C14" i="1" l="1"/>
  <c r="D7" i="15"/>
  <c r="H10" i="13"/>
  <c r="L10" i="13" s="1"/>
  <c r="E10" i="13"/>
  <c r="H11" i="13"/>
  <c r="L11" i="13" s="1"/>
  <c r="E11" i="13"/>
  <c r="H4" i="10"/>
  <c r="L4" i="10" s="1"/>
  <c r="E4" i="10"/>
  <c r="E5" i="10"/>
  <c r="H5" i="10"/>
  <c r="J5" i="10" s="1"/>
  <c r="M5" i="10" s="1"/>
  <c r="L5" i="10" l="1"/>
  <c r="J10" i="13"/>
  <c r="J11" i="13"/>
  <c r="J4" i="10"/>
  <c r="M4" i="10" s="1"/>
  <c r="K5" i="10"/>
  <c r="D14" i="7"/>
  <c r="C14" i="7"/>
  <c r="H6" i="7"/>
  <c r="L6" i="7" s="1"/>
  <c r="E6" i="7"/>
  <c r="I7" i="6"/>
  <c r="G7" i="6"/>
  <c r="F7" i="6"/>
  <c r="E7" i="6"/>
  <c r="D7" i="6"/>
  <c r="C7" i="6"/>
  <c r="H6" i="6"/>
  <c r="E6" i="6"/>
  <c r="K4" i="10" l="1"/>
  <c r="K10" i="13"/>
  <c r="M10" i="13"/>
  <c r="M11" i="13"/>
  <c r="K11" i="13"/>
  <c r="J6" i="7"/>
  <c r="M6" i="7" s="1"/>
  <c r="K6" i="7" l="1"/>
  <c r="I24" i="15"/>
  <c r="D5" i="15" s="1"/>
  <c r="M21" i="14"/>
  <c r="F11" i="3" l="1"/>
  <c r="F6" i="3"/>
  <c r="I14" i="14"/>
  <c r="P46" i="2"/>
  <c r="C17" i="1" l="1"/>
  <c r="F13" i="3" l="1"/>
  <c r="G6" i="3" l="1"/>
  <c r="G16" i="3"/>
  <c r="M41" i="2" l="1"/>
  <c r="D8" i="1" l="1"/>
  <c r="H7" i="7" l="1"/>
  <c r="J7" i="7" s="1"/>
  <c r="M7" i="7" s="1"/>
  <c r="E7" i="7"/>
  <c r="K7" i="7" l="1"/>
  <c r="L7" i="7"/>
  <c r="H20" i="3"/>
  <c r="K20" i="3"/>
  <c r="D14" i="17"/>
  <c r="D13" i="17"/>
  <c r="D10" i="17"/>
  <c r="D9" i="17"/>
  <c r="E1" i="17"/>
  <c r="D17" i="17" l="1"/>
  <c r="B8" i="18" s="1"/>
  <c r="H6" i="10"/>
  <c r="E6" i="10"/>
  <c r="I16" i="13" l="1"/>
  <c r="P33" i="2" s="1"/>
  <c r="I6" i="12"/>
  <c r="P32" i="2" s="1"/>
  <c r="I9" i="11"/>
  <c r="P31" i="2" s="1"/>
  <c r="S29" i="2"/>
  <c r="R29" i="2"/>
  <c r="Q29" i="2"/>
  <c r="P29" i="2"/>
  <c r="I9" i="8"/>
  <c r="P28" i="2" s="1"/>
  <c r="I14" i="7"/>
  <c r="P27" i="2" s="1"/>
  <c r="P26" i="2"/>
  <c r="I8" i="5"/>
  <c r="P25" i="2" s="1"/>
  <c r="J22" i="3"/>
  <c r="J11" i="3"/>
  <c r="G11" i="3"/>
  <c r="G23" i="3" s="1"/>
  <c r="I22" i="14"/>
  <c r="P18" i="2" s="1"/>
  <c r="P19" i="2"/>
  <c r="P22" i="2" l="1"/>
  <c r="I7" i="10"/>
  <c r="P30" i="2" s="1"/>
  <c r="P36" i="2" s="1"/>
  <c r="P53" i="2" l="1"/>
  <c r="O16" i="2" l="1"/>
  <c r="O15" i="2"/>
  <c r="Q15" i="2" s="1"/>
  <c r="S16" i="2" l="1"/>
  <c r="Q16" i="2"/>
  <c r="S15" i="2"/>
  <c r="R15" i="2"/>
  <c r="D1" i="15" l="1"/>
  <c r="M46" i="2" l="1"/>
  <c r="C1" i="3" l="1"/>
  <c r="N46" i="2" l="1"/>
  <c r="L6" i="2" l="1"/>
  <c r="G6" i="1"/>
  <c r="O7" i="2" l="1"/>
  <c r="G14" i="14"/>
  <c r="N19" i="2" s="1"/>
  <c r="F14" i="14"/>
  <c r="M19" i="2" s="1"/>
  <c r="D14" i="14"/>
  <c r="C14" i="14"/>
  <c r="H13" i="14"/>
  <c r="E13" i="14"/>
  <c r="H11" i="14"/>
  <c r="J11" i="14" s="1"/>
  <c r="M11" i="14" s="1"/>
  <c r="E11" i="14"/>
  <c r="H9" i="14"/>
  <c r="J9" i="14" s="1"/>
  <c r="M9" i="14" s="1"/>
  <c r="E9" i="14"/>
  <c r="H8" i="14"/>
  <c r="J8" i="14" s="1"/>
  <c r="M8" i="14" s="1"/>
  <c r="E8" i="14"/>
  <c r="H7" i="14"/>
  <c r="J7" i="14" s="1"/>
  <c r="M7" i="14" s="1"/>
  <c r="E7" i="14"/>
  <c r="H6" i="14"/>
  <c r="J6" i="14" s="1"/>
  <c r="M6" i="14" s="1"/>
  <c r="E6" i="14"/>
  <c r="H5" i="14"/>
  <c r="J5" i="14" s="1"/>
  <c r="M5" i="14" s="1"/>
  <c r="E5" i="14"/>
  <c r="H4" i="14"/>
  <c r="J4" i="14" s="1"/>
  <c r="M4" i="14" s="1"/>
  <c r="E4" i="14"/>
  <c r="H3" i="14"/>
  <c r="J3" i="14" s="1"/>
  <c r="M3" i="14" s="1"/>
  <c r="E3" i="14"/>
  <c r="G22" i="14"/>
  <c r="N18" i="2" s="1"/>
  <c r="F22" i="14"/>
  <c r="M18" i="2" s="1"/>
  <c r="D22" i="14"/>
  <c r="C22" i="14"/>
  <c r="J18" i="2" s="1"/>
  <c r="H21" i="14"/>
  <c r="E21" i="14"/>
  <c r="H19" i="14"/>
  <c r="J19" i="14" s="1"/>
  <c r="M19" i="14" s="1"/>
  <c r="E19" i="14"/>
  <c r="H18" i="14"/>
  <c r="J18" i="14" s="1"/>
  <c r="M18" i="14" s="1"/>
  <c r="E18" i="14"/>
  <c r="H6" i="5"/>
  <c r="J6" i="5" s="1"/>
  <c r="M6" i="5" s="1"/>
  <c r="E6" i="5"/>
  <c r="H4" i="6"/>
  <c r="E4" i="6"/>
  <c r="H6" i="8"/>
  <c r="J6" i="8" s="1"/>
  <c r="M6" i="8" s="1"/>
  <c r="E6" i="8"/>
  <c r="C9" i="8"/>
  <c r="J22" i="2" l="1"/>
  <c r="L18" i="2"/>
  <c r="L22" i="2" s="1"/>
  <c r="J4" i="6"/>
  <c r="M4" i="6" s="1"/>
  <c r="M22" i="2"/>
  <c r="N22" i="2"/>
  <c r="L19" i="14"/>
  <c r="K19" i="14"/>
  <c r="K7" i="14"/>
  <c r="L7" i="14"/>
  <c r="L9" i="14"/>
  <c r="K9" i="14"/>
  <c r="L6" i="5"/>
  <c r="L6" i="8"/>
  <c r="K6" i="8"/>
  <c r="L4" i="6"/>
  <c r="K18" i="14"/>
  <c r="L18" i="14"/>
  <c r="L4" i="14"/>
  <c r="K4" i="14"/>
  <c r="L6" i="14"/>
  <c r="K6" i="14"/>
  <c r="L8" i="14"/>
  <c r="K8" i="14"/>
  <c r="K11" i="14"/>
  <c r="L11" i="14"/>
  <c r="L5" i="14"/>
  <c r="K5" i="14"/>
  <c r="L3" i="14"/>
  <c r="E22" i="14"/>
  <c r="H14" i="14"/>
  <c r="E14" i="14"/>
  <c r="H22" i="14"/>
  <c r="K6" i="5"/>
  <c r="K3" i="14"/>
  <c r="K4" i="6" l="1"/>
  <c r="L22" i="14"/>
  <c r="S18" i="2" s="1"/>
  <c r="K22" i="14"/>
  <c r="R18" i="2" s="1"/>
  <c r="J22" i="14"/>
  <c r="L14" i="14"/>
  <c r="S19" i="2" s="1"/>
  <c r="J14" i="14"/>
  <c r="Q19" i="2" l="1"/>
  <c r="M14" i="14"/>
  <c r="Q18" i="2"/>
  <c r="M22" i="14"/>
  <c r="K14" i="14"/>
  <c r="R19" i="2" s="1"/>
  <c r="K10" i="3"/>
  <c r="I11" i="3"/>
  <c r="M50" i="2" s="1"/>
  <c r="H10" i="3"/>
  <c r="H9" i="3"/>
  <c r="H8" i="3"/>
  <c r="H5" i="3"/>
  <c r="H4" i="3"/>
  <c r="E4" i="13"/>
  <c r="E5" i="13"/>
  <c r="E6" i="13"/>
  <c r="E7" i="13"/>
  <c r="E8" i="13"/>
  <c r="E12" i="13"/>
  <c r="E13" i="13"/>
  <c r="E15" i="13"/>
  <c r="E3" i="13"/>
  <c r="E4" i="12"/>
  <c r="E5" i="12"/>
  <c r="E3" i="12"/>
  <c r="C9" i="11"/>
  <c r="J31" i="2" s="1"/>
  <c r="D9" i="11"/>
  <c r="F9" i="11"/>
  <c r="M31" i="2" s="1"/>
  <c r="G9" i="11"/>
  <c r="N31" i="2" s="1"/>
  <c r="C8" i="5"/>
  <c r="J25" i="2" s="1"/>
  <c r="D8" i="5"/>
  <c r="F8" i="5"/>
  <c r="M25" i="2" s="1"/>
  <c r="G8" i="5"/>
  <c r="N25" i="2" s="1"/>
  <c r="E4" i="11"/>
  <c r="E5" i="11"/>
  <c r="E6" i="11"/>
  <c r="E7" i="11"/>
  <c r="E8" i="11"/>
  <c r="E3" i="11"/>
  <c r="E3" i="10"/>
  <c r="E5" i="9"/>
  <c r="E4" i="8"/>
  <c r="E5" i="8"/>
  <c r="E8" i="8"/>
  <c r="E3" i="8"/>
  <c r="E4" i="7"/>
  <c r="E5" i="7"/>
  <c r="E8" i="7"/>
  <c r="E13" i="7"/>
  <c r="E3" i="7"/>
  <c r="H3" i="7"/>
  <c r="J3" i="7" s="1"/>
  <c r="M3" i="7" s="1"/>
  <c r="H4" i="7"/>
  <c r="J4" i="7" s="1"/>
  <c r="M4" i="7" s="1"/>
  <c r="H5" i="7"/>
  <c r="J5" i="7" s="1"/>
  <c r="M5" i="7" s="1"/>
  <c r="H8" i="7"/>
  <c r="J8" i="7" s="1"/>
  <c r="M8" i="7" s="1"/>
  <c r="E5" i="6"/>
  <c r="E3" i="6"/>
  <c r="E4" i="5"/>
  <c r="E5" i="5"/>
  <c r="E7" i="5"/>
  <c r="E3" i="5"/>
  <c r="F5" i="4"/>
  <c r="F3" i="4"/>
  <c r="H5" i="5"/>
  <c r="J5" i="5" s="1"/>
  <c r="M5" i="5" s="1"/>
  <c r="H7" i="5"/>
  <c r="J7" i="5" s="1"/>
  <c r="M7" i="5" s="1"/>
  <c r="H3" i="5"/>
  <c r="J3" i="5" s="1"/>
  <c r="M3" i="5" s="1"/>
  <c r="H4" i="5"/>
  <c r="J4" i="5" s="1"/>
  <c r="M4" i="5" s="1"/>
  <c r="H3" i="6"/>
  <c r="H5" i="6"/>
  <c r="J5" i="6" s="1"/>
  <c r="J26" i="2"/>
  <c r="M26" i="2"/>
  <c r="N26" i="2"/>
  <c r="D6" i="4"/>
  <c r="J24" i="2" s="1"/>
  <c r="E6" i="4"/>
  <c r="K24" i="2" s="1"/>
  <c r="K13" i="3"/>
  <c r="K14" i="3"/>
  <c r="K15" i="3"/>
  <c r="K4" i="3"/>
  <c r="K5" i="3"/>
  <c r="C5" i="1"/>
  <c r="O12" i="2"/>
  <c r="O14" i="2"/>
  <c r="O17" i="2"/>
  <c r="O18" i="2"/>
  <c r="O19" i="2"/>
  <c r="O20" i="2"/>
  <c r="O21" i="2"/>
  <c r="J3" i="6" l="1"/>
  <c r="M3" i="6" s="1"/>
  <c r="H7" i="6"/>
  <c r="M5" i="6"/>
  <c r="S21" i="2"/>
  <c r="Q21" i="2"/>
  <c r="K31" i="2"/>
  <c r="Q17" i="2"/>
  <c r="R17" i="2" s="1"/>
  <c r="S20" i="2"/>
  <c r="Q20" i="2"/>
  <c r="R20" i="2" s="1"/>
  <c r="K26" i="2"/>
  <c r="K25" i="2"/>
  <c r="K5" i="5"/>
  <c r="L5" i="5"/>
  <c r="L8" i="7"/>
  <c r="K3" i="5"/>
  <c r="L3" i="5"/>
  <c r="L5" i="7"/>
  <c r="L3" i="6"/>
  <c r="L4" i="5"/>
  <c r="K4" i="5"/>
  <c r="L5" i="6"/>
  <c r="K5" i="6"/>
  <c r="K7" i="5"/>
  <c r="L7" i="5"/>
  <c r="L4" i="7"/>
  <c r="L3" i="7"/>
  <c r="H11" i="3"/>
  <c r="S17" i="2"/>
  <c r="E9" i="11"/>
  <c r="H8" i="5"/>
  <c r="E8" i="5"/>
  <c r="R21" i="2"/>
  <c r="L7" i="6" l="1"/>
  <c r="S26" i="2" s="1"/>
  <c r="J7" i="6"/>
  <c r="M7" i="6" s="1"/>
  <c r="S22" i="2"/>
  <c r="Q22" i="2"/>
  <c r="K8" i="7"/>
  <c r="L8" i="5"/>
  <c r="S25" i="2" s="1"/>
  <c r="K8" i="5"/>
  <c r="R25" i="2" s="1"/>
  <c r="J8" i="5"/>
  <c r="M8" i="5" s="1"/>
  <c r="K5" i="7"/>
  <c r="K3" i="7"/>
  <c r="K4" i="7"/>
  <c r="K3" i="6"/>
  <c r="R16" i="2"/>
  <c r="K7" i="6" l="1"/>
  <c r="R26" i="2" s="1"/>
  <c r="Q26" i="2"/>
  <c r="Q25" i="2"/>
  <c r="R22" i="2"/>
  <c r="D5" i="1"/>
  <c r="E5" i="1" s="1"/>
  <c r="F5" i="1"/>
  <c r="G5" i="1"/>
  <c r="H5" i="1" l="1"/>
  <c r="O51" i="2" l="1"/>
  <c r="O48" i="2"/>
  <c r="L25" i="2"/>
  <c r="L26" i="2"/>
  <c r="L31" i="2"/>
  <c r="L34" i="2"/>
  <c r="L35" i="2"/>
  <c r="L24" i="2"/>
  <c r="O11" i="2"/>
  <c r="O22" i="2" s="1"/>
  <c r="O38" i="2"/>
  <c r="O39" i="2"/>
  <c r="O40" i="2"/>
  <c r="O25" i="2"/>
  <c r="O26" i="2"/>
  <c r="O31" i="2"/>
  <c r="O34" i="2"/>
  <c r="O35" i="2"/>
  <c r="O41" i="2" l="1"/>
  <c r="N41" i="2"/>
  <c r="C6" i="12" l="1"/>
  <c r="J32" i="2" s="1"/>
  <c r="D6" i="12"/>
  <c r="F6" i="12"/>
  <c r="M32" i="2" s="1"/>
  <c r="G6" i="12"/>
  <c r="N32" i="2" s="1"/>
  <c r="H4" i="12"/>
  <c r="J4" i="12" s="1"/>
  <c r="M4" i="12" s="1"/>
  <c r="H5" i="12"/>
  <c r="K32" i="2" l="1"/>
  <c r="H13" i="3"/>
  <c r="L4" i="12"/>
  <c r="K4" i="12"/>
  <c r="L32" i="2"/>
  <c r="O45" i="2"/>
  <c r="O32" i="2"/>
  <c r="H8" i="11"/>
  <c r="J8" i="11" s="1"/>
  <c r="M8" i="11" s="1"/>
  <c r="H7" i="11"/>
  <c r="J7" i="11" s="1"/>
  <c r="M7" i="11" s="1"/>
  <c r="H12" i="13"/>
  <c r="J12" i="13" s="1"/>
  <c r="M12" i="13" s="1"/>
  <c r="Q45" i="2" l="1"/>
  <c r="O46" i="2"/>
  <c r="S45" i="2"/>
  <c r="S46" i="2" s="1"/>
  <c r="L8" i="11"/>
  <c r="K8" i="11"/>
  <c r="K7" i="11"/>
  <c r="L7" i="11"/>
  <c r="L12" i="13"/>
  <c r="K12" i="13"/>
  <c r="H13" i="13"/>
  <c r="J13" i="13" s="1"/>
  <c r="M13" i="13" s="1"/>
  <c r="Q46" i="2" l="1"/>
  <c r="R45" i="2"/>
  <c r="R46" i="2" s="1"/>
  <c r="L13" i="13"/>
  <c r="K13" i="13"/>
  <c r="H5" i="9"/>
  <c r="N50" i="2" l="1"/>
  <c r="O50" i="2" s="1"/>
  <c r="K9" i="3" l="1"/>
  <c r="K8" i="3"/>
  <c r="J6" i="3"/>
  <c r="N49" i="2" s="1"/>
  <c r="I6" i="3"/>
  <c r="M49" i="2" s="1"/>
  <c r="M52" i="2" s="1"/>
  <c r="K18" i="3"/>
  <c r="J16" i="3"/>
  <c r="I16" i="3"/>
  <c r="J23" i="3" l="1"/>
  <c r="F4" i="1"/>
  <c r="I23" i="3"/>
  <c r="G4" i="1"/>
  <c r="K11" i="3"/>
  <c r="O49" i="2"/>
  <c r="O52" i="2" s="1"/>
  <c r="N52" i="2"/>
  <c r="H6" i="3"/>
  <c r="K16" i="3"/>
  <c r="K6" i="3"/>
  <c r="H4" i="1" l="1"/>
  <c r="D4" i="1"/>
  <c r="K23" i="3"/>
  <c r="H4" i="11"/>
  <c r="J4" i="11" s="1"/>
  <c r="M4" i="11" s="1"/>
  <c r="K4" i="11" l="1"/>
  <c r="L4" i="11"/>
  <c r="N29" i="2"/>
  <c r="M29" i="2"/>
  <c r="J29" i="2"/>
  <c r="G14" i="7"/>
  <c r="N27" i="2" s="1"/>
  <c r="F14" i="7"/>
  <c r="M27" i="2" s="1"/>
  <c r="H13" i="7"/>
  <c r="J13" i="7" s="1"/>
  <c r="M13" i="7" s="1"/>
  <c r="N30" i="2"/>
  <c r="F7" i="10"/>
  <c r="M30" i="2" s="1"/>
  <c r="D7" i="10"/>
  <c r="C7" i="10"/>
  <c r="J30" i="2" s="1"/>
  <c r="H3" i="10"/>
  <c r="J3" i="10" s="1"/>
  <c r="M3" i="10" s="1"/>
  <c r="G9" i="8"/>
  <c r="N28" i="2" s="1"/>
  <c r="M28" i="2"/>
  <c r="D9" i="8"/>
  <c r="J28" i="2"/>
  <c r="H8" i="8"/>
  <c r="J8" i="8" s="1"/>
  <c r="M8" i="8" s="1"/>
  <c r="H5" i="8"/>
  <c r="J5" i="8" s="1"/>
  <c r="M5" i="8" s="1"/>
  <c r="H4" i="8"/>
  <c r="J4" i="8" s="1"/>
  <c r="M4" i="8" s="1"/>
  <c r="H3" i="8"/>
  <c r="J3" i="8" s="1"/>
  <c r="M3" i="8" s="1"/>
  <c r="H3" i="12"/>
  <c r="J3" i="12" s="1"/>
  <c r="M3" i="12" s="1"/>
  <c r="E6" i="12"/>
  <c r="H6" i="11"/>
  <c r="J6" i="11" s="1"/>
  <c r="M6" i="11" s="1"/>
  <c r="H5" i="11"/>
  <c r="J5" i="11" s="1"/>
  <c r="M5" i="11" s="1"/>
  <c r="H3" i="11"/>
  <c r="J3" i="11" s="1"/>
  <c r="M3" i="11" s="1"/>
  <c r="H6" i="4"/>
  <c r="N24" i="2" s="1"/>
  <c r="G6" i="4"/>
  <c r="M24" i="2" s="1"/>
  <c r="I5" i="4"/>
  <c r="I3" i="4"/>
  <c r="K30" i="2" l="1"/>
  <c r="K28" i="2"/>
  <c r="L28" i="2" s="1"/>
  <c r="K29" i="2"/>
  <c r="L29" i="2" s="1"/>
  <c r="J27" i="2"/>
  <c r="K27" i="2"/>
  <c r="L3" i="11"/>
  <c r="K3" i="11"/>
  <c r="L8" i="8"/>
  <c r="K8" i="8"/>
  <c r="L5" i="8"/>
  <c r="K5" i="8"/>
  <c r="L5" i="11"/>
  <c r="K5" i="11"/>
  <c r="K3" i="8"/>
  <c r="L3" i="8"/>
  <c r="K6" i="11"/>
  <c r="L6" i="11"/>
  <c r="K4" i="8"/>
  <c r="L4" i="8"/>
  <c r="L13" i="7"/>
  <c r="L14" i="7" s="1"/>
  <c r="S27" i="2" s="1"/>
  <c r="L3" i="10"/>
  <c r="L7" i="10" s="1"/>
  <c r="S30" i="2" s="1"/>
  <c r="K3" i="10"/>
  <c r="L3" i="12"/>
  <c r="L6" i="12" s="1"/>
  <c r="S32" i="2" s="1"/>
  <c r="K3" i="12"/>
  <c r="H6" i="12"/>
  <c r="O29" i="2"/>
  <c r="O27" i="2"/>
  <c r="L30" i="2"/>
  <c r="H9" i="11"/>
  <c r="O30" i="2"/>
  <c r="O24" i="2"/>
  <c r="O28" i="2"/>
  <c r="F6" i="4"/>
  <c r="H7" i="10"/>
  <c r="E7" i="10"/>
  <c r="E14" i="7"/>
  <c r="H14" i="7"/>
  <c r="E9" i="8"/>
  <c r="H9" i="8"/>
  <c r="I6" i="4"/>
  <c r="G16" i="13"/>
  <c r="N33" i="2" s="1"/>
  <c r="N36" i="2" s="1"/>
  <c r="N53" i="2" s="1"/>
  <c r="F16" i="13"/>
  <c r="M33" i="2" s="1"/>
  <c r="M36" i="2" s="1"/>
  <c r="M53" i="2" s="1"/>
  <c r="F3" i="1" s="1"/>
  <c r="D16" i="13"/>
  <c r="C16" i="13"/>
  <c r="J33" i="2" s="1"/>
  <c r="H15" i="13"/>
  <c r="J15" i="13" s="1"/>
  <c r="M15" i="13" s="1"/>
  <c r="H8" i="13"/>
  <c r="J8" i="13" s="1"/>
  <c r="M8" i="13" s="1"/>
  <c r="H7" i="13"/>
  <c r="J7" i="13" s="1"/>
  <c r="M7" i="13" s="1"/>
  <c r="H6" i="13"/>
  <c r="J6" i="13" s="1"/>
  <c r="M6" i="13" s="1"/>
  <c r="H5" i="13"/>
  <c r="J5" i="13" s="1"/>
  <c r="M5" i="13" s="1"/>
  <c r="H4" i="13"/>
  <c r="J4" i="13" s="1"/>
  <c r="M4" i="13" s="1"/>
  <c r="H3" i="13"/>
  <c r="J3" i="13" s="1"/>
  <c r="M3" i="13" s="1"/>
  <c r="L27" i="2" l="1"/>
  <c r="K33" i="2"/>
  <c r="L33" i="2" s="1"/>
  <c r="J36" i="2"/>
  <c r="L5" i="13"/>
  <c r="K5" i="13"/>
  <c r="K15" i="13"/>
  <c r="L15" i="13"/>
  <c r="K6" i="13"/>
  <c r="L6" i="13"/>
  <c r="L9" i="8"/>
  <c r="S28" i="2" s="1"/>
  <c r="K9" i="11"/>
  <c r="R31" i="2" s="1"/>
  <c r="J9" i="11"/>
  <c r="L3" i="13"/>
  <c r="K3" i="13"/>
  <c r="L7" i="13"/>
  <c r="K7" i="13"/>
  <c r="J9" i="8"/>
  <c r="K9" i="8"/>
  <c r="R28" i="2" s="1"/>
  <c r="L9" i="11"/>
  <c r="S31" i="2" s="1"/>
  <c r="K4" i="13"/>
  <c r="L4" i="13"/>
  <c r="L8" i="13"/>
  <c r="K8" i="13"/>
  <c r="J14" i="7"/>
  <c r="M14" i="7" s="1"/>
  <c r="J7" i="10"/>
  <c r="K7" i="10"/>
  <c r="R30" i="2" s="1"/>
  <c r="K6" i="12"/>
  <c r="R32" i="2" s="1"/>
  <c r="J6" i="12"/>
  <c r="O33" i="2"/>
  <c r="O36" i="2" s="1"/>
  <c r="O53" i="2" s="1"/>
  <c r="G3" i="1"/>
  <c r="G10" i="1" s="1"/>
  <c r="H16" i="13"/>
  <c r="E16" i="13"/>
  <c r="K13" i="7"/>
  <c r="J53" i="2" l="1"/>
  <c r="C3" i="1" s="1"/>
  <c r="C13" i="1" s="1"/>
  <c r="K14" i="7"/>
  <c r="R27" i="2" s="1"/>
  <c r="L36" i="2"/>
  <c r="L53" i="2" s="1"/>
  <c r="Q28" i="2"/>
  <c r="M9" i="8"/>
  <c r="K36" i="2"/>
  <c r="Q30" i="2"/>
  <c r="M7" i="10"/>
  <c r="Q32" i="2"/>
  <c r="M6" i="12"/>
  <c r="Q31" i="2"/>
  <c r="M9" i="11"/>
  <c r="Q27" i="2"/>
  <c r="K16" i="13"/>
  <c r="R33" i="2" s="1"/>
  <c r="J16" i="13"/>
  <c r="L16" i="13"/>
  <c r="S33" i="2" s="1"/>
  <c r="S36" i="2" s="1"/>
  <c r="S53" i="2" s="1"/>
  <c r="H3" i="1"/>
  <c r="K53" i="2" l="1"/>
  <c r="D3" i="1" s="1"/>
  <c r="R36" i="2"/>
  <c r="R53" i="2" s="1"/>
  <c r="Q33" i="2"/>
  <c r="Q36" i="2" s="1"/>
  <c r="Q53" i="2" s="1"/>
  <c r="D6" i="15" s="1"/>
  <c r="M16" i="13"/>
  <c r="E8" i="1"/>
  <c r="G22" i="3"/>
  <c r="D10" i="1" l="1"/>
  <c r="E3" i="1"/>
  <c r="D9" i="15"/>
  <c r="B4" i="18" l="1"/>
  <c r="F18" i="3"/>
  <c r="H6" i="1"/>
  <c r="I21" i="3"/>
  <c r="I19" i="3" l="1"/>
  <c r="H18" i="3"/>
  <c r="K21" i="3"/>
  <c r="F7" i="1" l="1"/>
  <c r="F10" i="1" s="1"/>
  <c r="K19" i="3"/>
  <c r="K22" i="3" s="1"/>
  <c r="I22" i="3"/>
  <c r="H7" i="1" l="1"/>
  <c r="H10" i="1" s="1"/>
  <c r="B3" i="18"/>
  <c r="F15" i="3"/>
  <c r="H15" i="3" s="1"/>
  <c r="F14" i="3"/>
  <c r="C12" i="1" l="1"/>
  <c r="B5" i="18"/>
  <c r="B10" i="18" s="1"/>
  <c r="B11" i="18" s="1"/>
  <c r="B13" i="18" s="1"/>
  <c r="F16" i="3"/>
  <c r="H14" i="3"/>
  <c r="H16" i="3" s="1"/>
  <c r="H23" i="3" s="1"/>
  <c r="B14" i="18" l="1"/>
  <c r="C7" i="1" s="1"/>
  <c r="B7" i="18"/>
  <c r="B9" i="18" s="1"/>
  <c r="C4" i="1"/>
  <c r="F23" i="3"/>
  <c r="E7" i="1" l="1"/>
  <c r="F19" i="3"/>
  <c r="H19" i="3" s="1"/>
  <c r="C15" i="1"/>
  <c r="E4" i="1"/>
  <c r="B16" i="18" l="1"/>
  <c r="C6" i="1" s="1"/>
  <c r="C16" i="1"/>
  <c r="C18" i="1" s="1"/>
  <c r="F18" i="1" s="1"/>
  <c r="F21" i="3" l="1"/>
  <c r="C10" i="1"/>
  <c r="H12" i="1" s="1"/>
  <c r="E6" i="1"/>
  <c r="E10" i="1" s="1"/>
  <c r="H21" i="3" l="1"/>
  <c r="H22" i="3" s="1"/>
  <c r="F22" i="3"/>
</calcChain>
</file>

<file path=xl/sharedStrings.xml><?xml version="1.0" encoding="utf-8"?>
<sst xmlns="http://schemas.openxmlformats.org/spreadsheetml/2006/main" count="516" uniqueCount="264">
  <si>
    <t>Selbstverwaltung der Studentinnen- und Studentenschaft HTW Dresden</t>
  </si>
  <si>
    <t>Studentinnen- und Studentenrat</t>
  </si>
  <si>
    <t>Büro- und Verbrauchsmaterialien</t>
  </si>
  <si>
    <t>Rechts- und Beratungskosten</t>
  </si>
  <si>
    <t>Ersatz- und Neuanschaffung</t>
  </si>
  <si>
    <t>Sprecherinnen und Sprecher</t>
  </si>
  <si>
    <t>Referat Finanzen</t>
  </si>
  <si>
    <t>Referat Hochschulpolitik</t>
  </si>
  <si>
    <t>Referat Internationales</t>
  </si>
  <si>
    <t>Referat Öffentlichkeitsarbeit</t>
  </si>
  <si>
    <t>Referat Qualitätsmanagement</t>
  </si>
  <si>
    <t>Referat Soziales</t>
  </si>
  <si>
    <t>Referat Sport</t>
  </si>
  <si>
    <t>Referat Studium</t>
  </si>
  <si>
    <t>Ausschüsse der Studentinnen- und Studentenschaft</t>
  </si>
  <si>
    <t>weitere Ausschüsse der Studentinnen- und Studentenschaft</t>
  </si>
  <si>
    <t>Wahlausschuss der Studentinnen- und Studentenschaft</t>
  </si>
  <si>
    <t>Vertretungen der Studentinnen und Studenten</t>
  </si>
  <si>
    <t>Vertretungen der Studentinnen und Studenten in der Hochschule</t>
  </si>
  <si>
    <t>Konferenz Sächsischer Studierendenschaft</t>
  </si>
  <si>
    <t xml:space="preserve">Interessenvertretungen der Studentinnen- und Studentenschaft </t>
  </si>
  <si>
    <t>weitere Interessenvertetungen</t>
  </si>
  <si>
    <t>Selbstverwaltung</t>
  </si>
  <si>
    <t>Kino in der Hochschule</t>
  </si>
  <si>
    <t>Häufigkeit</t>
  </si>
  <si>
    <t>Referat Verwaltung</t>
  </si>
  <si>
    <t>Angestellte</t>
  </si>
  <si>
    <t>Telefon</t>
  </si>
  <si>
    <t>Domains</t>
  </si>
  <si>
    <t>Labeldrucker (für die ISIC-Ausweise)</t>
  </si>
  <si>
    <t>Kontoführung mit online-banking</t>
  </si>
  <si>
    <t>Internationaler Tag</t>
  </si>
  <si>
    <t>Druck Hochschul-ABC (Anteilig)</t>
  </si>
  <si>
    <t>Hochschulveranstaltungen</t>
  </si>
  <si>
    <t>sächsische Beachmeisterschaften</t>
  </si>
  <si>
    <t>Hochschulsportfest</t>
  </si>
  <si>
    <t>laufende Kosten (Druck, Wartung)</t>
  </si>
  <si>
    <t>"festival contre le rasism"</t>
  </si>
  <si>
    <t>Beitragseinnahmen</t>
  </si>
  <si>
    <t>Konferenz Sächsischer Studierendenschaften</t>
  </si>
  <si>
    <t>Finanzvereinbarung</t>
  </si>
  <si>
    <t>Förderung der KSS (so auch Domain kss-sachsen.de)</t>
  </si>
  <si>
    <t>Interessenvertretungen der Studentinnen- und Studentenschaften</t>
  </si>
  <si>
    <t>Drachenbootrennen</t>
  </si>
  <si>
    <t>Werbemittel</t>
  </si>
  <si>
    <t>Zinsen</t>
  </si>
  <si>
    <t>Beiträge/Gebühren</t>
  </si>
  <si>
    <t>Tuniere, Preise, Beiträge</t>
  </si>
  <si>
    <t>Kompetenzorientiertes Prüfen</t>
  </si>
  <si>
    <t>Systemakkreditierung, was nun?</t>
  </si>
  <si>
    <t>Startgebühren</t>
  </si>
  <si>
    <t>Zwischensumme:</t>
  </si>
  <si>
    <t>Finanzen</t>
  </si>
  <si>
    <t>Hochschulpolitik</t>
  </si>
  <si>
    <t>Internationales</t>
  </si>
  <si>
    <t>Kultur</t>
  </si>
  <si>
    <t>Öffentlichkeitsarbeit</t>
  </si>
  <si>
    <t>Qualitätsmanagement</t>
  </si>
  <si>
    <t>Soziales</t>
  </si>
  <si>
    <t>Sport</t>
  </si>
  <si>
    <t>Studium</t>
  </si>
  <si>
    <t>Studentische Selbstverwaltung &amp; Organisation</t>
  </si>
  <si>
    <t>Jahr -</t>
  </si>
  <si>
    <t>Ausgaben</t>
  </si>
  <si>
    <t>Referate</t>
  </si>
  <si>
    <t>Gesamtsumme:</t>
  </si>
  <si>
    <t>SALDO</t>
  </si>
  <si>
    <t>Einnahmen</t>
  </si>
  <si>
    <t>PLAN</t>
  </si>
  <si>
    <t>IST</t>
  </si>
  <si>
    <t>AAG</t>
  </si>
  <si>
    <t>Gehälter</t>
  </si>
  <si>
    <t>gesetzl. sozial. Aufw.</t>
  </si>
  <si>
    <t>Beitrag BG</t>
  </si>
  <si>
    <t>weitere Vertretungen</t>
  </si>
  <si>
    <t>Durchführung Konferenzen</t>
  </si>
  <si>
    <t>Durchführung Schulungen</t>
  </si>
  <si>
    <t>Teilnahme Konferenzen</t>
  </si>
  <si>
    <t>Teilnahme Schulungen</t>
  </si>
  <si>
    <t>Kaffee &amp; Verpflegung</t>
  </si>
  <si>
    <t>4955/4970</t>
  </si>
  <si>
    <t>WiSe</t>
  </si>
  <si>
    <t>SoSe</t>
  </si>
  <si>
    <t>Detailblatt I</t>
  </si>
  <si>
    <t>Detailblatt II</t>
  </si>
  <si>
    <t>Ausschüsse des Studentinnen- und Studentenrates</t>
  </si>
  <si>
    <t>faranto e.V.</t>
  </si>
  <si>
    <t>Gesamt:</t>
  </si>
  <si>
    <t>Sachkonto: 4970</t>
  </si>
  <si>
    <t>Sachkonto: 4955</t>
  </si>
  <si>
    <t>Buchhaltungssoftware AGENDA</t>
  </si>
  <si>
    <t>Aktionen, Festivals und Demonstrationen</t>
  </si>
  <si>
    <r>
      <t xml:space="preserve">Projekt </t>
    </r>
    <r>
      <rPr>
        <b/>
        <sz val="9"/>
        <color rgb="FF000000"/>
        <rFont val="Tahoma"/>
        <family val="2"/>
      </rPr>
      <t>"</t>
    </r>
    <r>
      <rPr>
        <sz val="9"/>
        <color rgb="FF000000"/>
        <rFont val="Tahoma"/>
        <family val="2"/>
      </rPr>
      <t>Studieren mit Kind"</t>
    </r>
  </si>
  <si>
    <t>Beitrag Gruppenausweis für Jugendherbergen</t>
  </si>
  <si>
    <t>weitere</t>
  </si>
  <si>
    <t>Interessiertengrillen</t>
  </si>
  <si>
    <t>DAAD Mitgliedsbeitrag</t>
  </si>
  <si>
    <t>Konferenzen</t>
  </si>
  <si>
    <t>O.S.T. (Bereich Bund/Land) / Hochschulpolitik</t>
  </si>
  <si>
    <t>BuFaTa / FSR</t>
  </si>
  <si>
    <t>Schulungen</t>
  </si>
  <si>
    <t>Akkreditierung / Qualitätsmanagement</t>
  </si>
  <si>
    <t>Schulungen studentische und akademische
Selbstverwaltung (Studienprüfungsordnung) / Studium</t>
  </si>
  <si>
    <t>Prüfungsangelegenheiten / Studium</t>
  </si>
  <si>
    <t>Konstituierungsseminar (KoSe) / StuRa</t>
  </si>
  <si>
    <t>Lern- und Informationsseminar (LuISe) / StuRa</t>
  </si>
  <si>
    <t>Vermögen</t>
  </si>
  <si>
    <t>Zinsen auf Vermögen</t>
  </si>
  <si>
    <t>Sozialberatung (BaföG, Jobberatung) / Soziales</t>
  </si>
  <si>
    <t>CLearance And Rapprochement (CLARA) / StuRa</t>
  </si>
  <si>
    <t>Aktionstage gegen Sexismus und Homophobie</t>
  </si>
  <si>
    <t>Förderverein HTW Dresden - Mitgliedsbeitrag</t>
  </si>
  <si>
    <t>politische Bildung / Umweltbildung</t>
  </si>
  <si>
    <t>LAN-Partys</t>
  </si>
  <si>
    <t>Acon GmbH (Lohnabr.)</t>
  </si>
  <si>
    <t>davon verwendet</t>
  </si>
  <si>
    <r>
      <rPr>
        <b/>
        <sz val="9"/>
        <rFont val="Tahoma"/>
        <family val="2"/>
      </rPr>
      <t>Zuführung</t>
    </r>
    <r>
      <rPr>
        <sz val="9"/>
        <rFont val="Tahoma"/>
        <family val="2"/>
      </rPr>
      <t xml:space="preserve"> "Fortgeschr. finanz. Mittel"</t>
    </r>
  </si>
  <si>
    <t>Referat Kultur</t>
  </si>
  <si>
    <t>pol. Bildung, Antidiskriminierung, Gender- / Hochschulpolitik</t>
  </si>
  <si>
    <t>Zuführung "Fortgeschr. finanz. Mittel"</t>
  </si>
  <si>
    <t>gesamt:</t>
  </si>
  <si>
    <t>-</t>
  </si>
  <si>
    <t>=</t>
  </si>
  <si>
    <r>
      <t xml:space="preserve">abzgl. voraussichtliche </t>
    </r>
    <r>
      <rPr>
        <b/>
        <sz val="9"/>
        <color theme="1"/>
        <rFont val="Tahoma"/>
        <family val="2"/>
      </rPr>
      <t>Ausgaben</t>
    </r>
  </si>
  <si>
    <t>erstellt am:</t>
  </si>
  <si>
    <t>Fortgeschriebene finanzielle Mittel + Bankkontostand</t>
  </si>
  <si>
    <t>Saldo</t>
  </si>
  <si>
    <t>voraussichtliche Ausgaben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</si>
  <si>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</si>
  <si>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</si>
  <si>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</si>
  <si>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</si>
  <si>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</si>
  <si>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</si>
  <si>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</si>
  <si>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</si>
  <si>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</si>
  <si>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</si>
  <si>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</si>
  <si>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</si>
  <si>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</si>
  <si>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</si>
  <si>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</si>
  <si>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</si>
  <si>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Kontoführung</t>
  </si>
  <si>
    <t>Kino in der HTW &amp; Co.</t>
  </si>
  <si>
    <t>Kaffeebestellung(en)</t>
  </si>
  <si>
    <t>Ersatz- &amp; Neuanschaffung</t>
  </si>
  <si>
    <r>
      <t xml:space="preserve">voraussichtliche </t>
    </r>
    <r>
      <rPr>
        <b/>
        <sz val="9"/>
        <color theme="1"/>
        <rFont val="Tahoma"/>
        <family val="2"/>
      </rPr>
      <t>AE</t>
    </r>
  </si>
  <si>
    <t>Kosten für Wartung (Drucker etc.)</t>
  </si>
  <si>
    <t>Software-Abos (AGENDA etc.)</t>
  </si>
  <si>
    <r>
      <rPr>
        <b/>
        <sz val="9"/>
        <rFont val="Tahoma"/>
        <family val="2"/>
      </rPr>
      <t>nachrangig</t>
    </r>
    <r>
      <rPr>
        <sz val="9"/>
        <rFont val="Tahoma"/>
        <family val="2"/>
      </rPr>
      <t xml:space="preserve"> verwendbares Vj. Budget</t>
    </r>
  </si>
  <si>
    <t>Übertrag ins nächste HH-Jahr</t>
  </si>
  <si>
    <t>Hinweise:</t>
  </si>
  <si>
    <r>
      <t xml:space="preserve">Positionen mit 0,00€ nicht löschen, sondern bestehen lassen -&gt; es könnte sein das diese Posten in den folgenden Jahren wieder benötigt werden </t>
    </r>
    <r>
      <rPr>
        <b/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auch damit nicht in Vergessenheit gerät was es mal gab</t>
    </r>
  </si>
  <si>
    <t>nachrangig verwendbares Vj. Budget</t>
  </si>
  <si>
    <t>Planausgaben:</t>
  </si>
  <si>
    <t>Zurückführung:</t>
  </si>
  <si>
    <t>/</t>
  </si>
  <si>
    <t>freier zusammenschluss von studentInnenschaften (fzs) e.V.</t>
  </si>
  <si>
    <t>Planeinnahmen:</t>
  </si>
  <si>
    <r>
      <rPr>
        <b/>
        <sz val="9"/>
        <color theme="1"/>
        <rFont val="Tahoma"/>
        <family val="2"/>
      </rPr>
      <t>wahrscheinlich</t>
    </r>
    <r>
      <rPr>
        <sz val="9"/>
        <color theme="1"/>
        <rFont val="Tahoma"/>
        <family val="2"/>
      </rPr>
      <t xml:space="preserve"> noch zu beschließende Finanzanträge </t>
    </r>
  </si>
  <si>
    <t>16.</t>
  </si>
  <si>
    <r>
      <rPr>
        <b/>
        <sz val="9"/>
        <color theme="1"/>
        <rFont val="Tahoma"/>
        <family val="2"/>
      </rPr>
      <t>offene</t>
    </r>
    <r>
      <rPr>
        <sz val="9"/>
        <color theme="1"/>
        <rFont val="Tahoma"/>
        <family val="2"/>
      </rPr>
      <t xml:space="preserve"> Härtefallanträge</t>
    </r>
  </si>
  <si>
    <r>
      <t xml:space="preserve">Kosten für </t>
    </r>
    <r>
      <rPr>
        <b/>
        <sz val="9"/>
        <color theme="1"/>
        <rFont val="Tahoma"/>
        <family val="2"/>
      </rPr>
      <t>Wahlen</t>
    </r>
  </si>
  <si>
    <t>von Vermögen</t>
  </si>
  <si>
    <t>Stud./Semester:</t>
  </si>
  <si>
    <t>Berechnungsgrundlage ist die aktuelle Finanzordnung (FO)</t>
  </si>
  <si>
    <t>- alle vertraglich festgeschriebenen Vereinbarungen müssen durch die Kapitalreserve abgedeckt sein</t>
  </si>
  <si>
    <t>vertragliche Vereinbarungen</t>
  </si>
  <si>
    <t>Planausgaben</t>
  </si>
  <si>
    <t>Kontoführungsgebühren</t>
  </si>
  <si>
    <t>Referat Selbstverwaltung &amp; Organisation</t>
  </si>
  <si>
    <t>…aktuell ohne Belegung…</t>
  </si>
  <si>
    <t>angeordnete Vermögensänderung lt. FO</t>
  </si>
  <si>
    <t>Lohnkosten (Detailblatt I - Zelle M7)</t>
  </si>
  <si>
    <t>Berechnung des Semesterbeitrag:</t>
  </si>
  <si>
    <t>Dies Academicus</t>
  </si>
  <si>
    <t>(AE) Aufwandsentschädigungen</t>
  </si>
  <si>
    <t>(HFA) Härtefallausschuss der Studentinnen- &amp; Studentenschaft</t>
  </si>
  <si>
    <t>Beitragseinnahmen der Studierenden</t>
  </si>
  <si>
    <t>Verfügbare finanzielle Mittel</t>
  </si>
  <si>
    <t>Anzahl der Studierenden im:</t>
  </si>
  <si>
    <t>§5 Abs.4 S.2 FO</t>
  </si>
  <si>
    <t>Anteilig WS 19/20</t>
  </si>
  <si>
    <r>
      <rPr>
        <b/>
        <sz val="9"/>
        <color theme="1"/>
        <rFont val="Tahoma"/>
        <family val="2"/>
      </rPr>
      <t>Bank-/Kassenbestand</t>
    </r>
    <r>
      <rPr>
        <sz val="9"/>
        <color theme="1"/>
        <rFont val="Tahoma"/>
        <family val="2"/>
      </rPr>
      <t xml:space="preserve"> bei Haushaltsplanerstellung</t>
    </r>
  </si>
  <si>
    <r>
      <rPr>
        <b/>
        <sz val="9"/>
        <color theme="1"/>
        <rFont val="Tahoma"/>
        <family val="2"/>
      </rPr>
      <t>nachrangig</t>
    </r>
    <r>
      <rPr>
        <sz val="9"/>
        <color theme="1"/>
        <rFont val="Tahoma"/>
        <family val="2"/>
      </rPr>
      <t xml:space="preserve"> verwendbares Vorjahresbudget</t>
    </r>
  </si>
  <si>
    <t>verfügbare finanzielle Mittel</t>
  </si>
  <si>
    <t>Die Summe der fortgeschriebenen finanziellen Mittel müssen immer manuell ins Deckblatt des nächsten Haushaltsjahres eingetragen werden.</t>
  </si>
  <si>
    <t xml:space="preserve">Die Auflistung der fortgeschriebenen finanziellen Mittel im Detailblatt 1 und in den einzelnen Referaten dient als Übersicht, welcher Betrag übernommen werden muss. </t>
  </si>
  <si>
    <t>WICHTIG:</t>
  </si>
  <si>
    <t>Der Haushaltsplan des Vorjahres, welcher maßgeblich für die Zahlen des neu geplanten Haushaltsplans ist, muss nach Abschluss des ersten Quartals endgültig auf die IST-Werte angepasst werden.</t>
  </si>
  <si>
    <t>Daraus sollte sich der erste Nachtragshaushalt ergeben, woraus sich wiederum eine Anpassung des Semesterbeitrags für das WS ergeben könnte.</t>
  </si>
  <si>
    <t>17.</t>
  </si>
  <si>
    <r>
      <t xml:space="preserve">Finanzbeschlüsse </t>
    </r>
    <r>
      <rPr>
        <b/>
        <sz val="9"/>
        <color theme="1"/>
        <rFont val="Tahoma"/>
        <family val="2"/>
      </rPr>
      <t>aktuell</t>
    </r>
    <r>
      <rPr>
        <sz val="9"/>
        <color theme="1"/>
        <rFont val="Tahoma"/>
        <family val="2"/>
      </rPr>
      <t xml:space="preserve"> noch </t>
    </r>
    <r>
      <rPr>
        <b/>
        <sz val="9"/>
        <color theme="1"/>
        <rFont val="Tahoma"/>
        <family val="2"/>
      </rPr>
      <t>nicht</t>
    </r>
    <r>
      <rPr>
        <sz val="9"/>
        <color theme="1"/>
        <rFont val="Tahoma"/>
        <family val="2"/>
      </rPr>
      <t xml:space="preserve"> bezahlt in Summe</t>
    </r>
  </si>
  <si>
    <t>Zurückführung an Studierende (StuRa)</t>
  </si>
  <si>
    <r>
      <t xml:space="preserve">Zurückführung </t>
    </r>
    <r>
      <rPr>
        <sz val="9"/>
        <color theme="1"/>
        <rFont val="Tahoma"/>
        <family val="2"/>
      </rPr>
      <t>an Studierende gesamt</t>
    </r>
  </si>
  <si>
    <r>
      <rPr>
        <b/>
        <sz val="9"/>
        <color theme="1"/>
        <rFont val="Tahoma"/>
        <family val="2"/>
      </rPr>
      <t>Personal</t>
    </r>
    <r>
      <rPr>
        <sz val="9"/>
        <color theme="1"/>
        <rFont val="Tahoma"/>
        <family val="2"/>
      </rPr>
      <t xml:space="preserve"> (Nov.+Dez. inkl. 13.Gehalt, ACON, Finanzamt)</t>
    </r>
  </si>
  <si>
    <t>Schulungen/Konferenzen (KoSe)</t>
  </si>
  <si>
    <t>Die Einnahmen aus der Selbstverwaltung, die Zinsen und die Beitragseinnahmen der Studierenden abzüglich der Zurückführung an Studierende.</t>
  </si>
  <si>
    <t>Den daraus ermittelten Einnahmen werden die noch verfügbaren finanziellen Mittel entgegengestellt, sind diese größer als die geplanten Einnahmen, so ergibt sich die Vermögensänderung auf der Einnahmenseite.</t>
  </si>
  <si>
    <t>Mindestreserve</t>
  </si>
  <si>
    <t>Sind diese kleiner als die Mindestreserve, so bildet die Differenz den Betrag der Vermögensänderung.</t>
  </si>
  <si>
    <t xml:space="preserve">Für die Ermittlung der angeordneten Vermögensänderung des StuRa auf der Ausgabenseite, werden die verfügbaren finanziellen Mittel mit der Mindestreserve verglichen. </t>
  </si>
  <si>
    <t>Geplante Einnahmen</t>
  </si>
  <si>
    <t>Obergrenze finanzielle Mittel</t>
  </si>
  <si>
    <t>beabsichtigte Senkung der verfügbaren finanziellen Mittel</t>
  </si>
  <si>
    <t>Untergrenze für verfügbare finanzielle Mittel durch Bemessung an der Mindestreserve wird erreicht</t>
  </si>
  <si>
    <t>(Verfügbare finanzielle Mittel nach Vermögensenkung)</t>
  </si>
  <si>
    <t>Ermittlung des Beitrages in Bezug auf die angeordnete Vermögensänderung</t>
  </si>
  <si>
    <t>geplante Veränderung des Vermögens Ansparen/Entnahme</t>
  </si>
  <si>
    <t>Anzusetzender Semesterbeitrag:</t>
  </si>
  <si>
    <t>Vermögensänderung</t>
  </si>
  <si>
    <t>restlich zu vereinnahmender Semesterbeitrag ab dem nächsten Sommersemester</t>
  </si>
  <si>
    <t>In Zeile F6 (Ansparung) manuell einzutragen:</t>
  </si>
  <si>
    <t>Vorgesehene Vermögenssenkung wegen zu hoher verfügbarer finanzieller Mittel</t>
  </si>
  <si>
    <t>Obergrenze für verpflichtende Vermögenssenkung entgegen der (negativen) Erhebung von Beiträgen</t>
  </si>
  <si>
    <t>Vermögenssenkung wegen übermäßig verfügbarer finanzieller Mittel ohne negativem Semesterbeitrag</t>
  </si>
  <si>
    <t>------</t>
  </si>
  <si>
    <t>Entnahme (=Einnahme) Ansparen (=Ausgabe)</t>
  </si>
  <si>
    <t>Somit bildet die Spalte "Übertrag ins nächste HH-Jahr" des jeweiligen Jahres das "Nachrangig verwendbares Vj..-Budget" des nächsten Jahres.</t>
  </si>
  <si>
    <t>Die Spalte "Zurückführung" errechnet sich aus dem nicht verwendeten "Nachrangigen Vj..-Budget" und gilt immer für das nächste Jahr.</t>
  </si>
  <si>
    <t>Position</t>
  </si>
  <si>
    <t>----</t>
  </si>
  <si>
    <t>Sachkontonr.</t>
  </si>
  <si>
    <t>x Studierende</t>
  </si>
  <si>
    <t>CoCo-Pauschale</t>
  </si>
  <si>
    <r>
      <rPr>
        <b/>
        <sz val="9"/>
        <color rgb="FF000000"/>
        <rFont val="Tahoma"/>
        <family val="2"/>
      </rPr>
      <t>E</t>
    </r>
    <r>
      <rPr>
        <sz val="9"/>
        <color rgb="FF000000"/>
        <rFont val="Tahoma"/>
        <family val="2"/>
      </rPr>
      <t xml:space="preserve">rasmus </t>
    </r>
    <r>
      <rPr>
        <b/>
        <sz val="9"/>
        <color rgb="FF000000"/>
        <rFont val="Tahoma"/>
        <family val="2"/>
      </rPr>
      <t>S</t>
    </r>
    <r>
      <rPr>
        <sz val="9"/>
        <color rgb="FF000000"/>
        <rFont val="Tahoma"/>
        <family val="2"/>
      </rPr>
      <t xml:space="preserve">tudent </t>
    </r>
    <r>
      <rPr>
        <b/>
        <sz val="9"/>
        <color rgb="FF000000"/>
        <rFont val="Tahoma"/>
        <family val="2"/>
      </rPr>
      <t>N</t>
    </r>
    <r>
      <rPr>
        <sz val="9"/>
        <color rgb="FF000000"/>
        <rFont val="Tahoma"/>
        <family val="2"/>
      </rPr>
      <t>etwork</t>
    </r>
  </si>
  <si>
    <t>Veranstaltungen zu sozialen Belangen</t>
  </si>
  <si>
    <t>Projekt Studieren mit Beeinträchtigung</t>
  </si>
  <si>
    <t>Informationen zu Wahlen</t>
  </si>
  <si>
    <t>Vertrieb ISIC</t>
  </si>
  <si>
    <t>laufende Kosten für Druck, samt Nebenkosten</t>
  </si>
  <si>
    <t>andauernde Betreuung Server durch Externe</t>
  </si>
  <si>
    <t>Konto 1704</t>
  </si>
  <si>
    <t>Konto 1450 (-)</t>
  </si>
  <si>
    <r>
      <t xml:space="preserve">Haushaltsplan 2020 </t>
    </r>
    <r>
      <rPr>
        <sz val="10"/>
        <color rgb="FF000000"/>
        <rFont val="Tahoma"/>
        <family val="2"/>
      </rPr>
      <t>Studierendenschaft HTW Dresden</t>
    </r>
  </si>
  <si>
    <t>20/21</t>
  </si>
  <si>
    <t>SoSe 20</t>
  </si>
  <si>
    <t>Anteilig WS 20/21</t>
  </si>
  <si>
    <t>Beitragszahlungen/Jahr:</t>
  </si>
  <si>
    <t>Allgemeine Reisekosten (die keiner Veranstaltung zugeordnet sind)</t>
  </si>
  <si>
    <t>Anschaffungen zwecks Umstrukturierung StuRa</t>
  </si>
  <si>
    <r>
      <t>Absicherung Teilnahme BuFaTas lt. Finanzordnung</t>
    </r>
    <r>
      <rPr>
        <sz val="9"/>
        <color rgb="FF000000"/>
        <rFont val="Tahoma"/>
        <family val="2"/>
      </rPr>
      <t>:</t>
    </r>
  </si>
  <si>
    <t>Veranstaltung zu Erste Hilfe</t>
  </si>
  <si>
    <t>Rockkonzert</t>
  </si>
  <si>
    <t>Erstsemestereinführung (ESE)</t>
  </si>
  <si>
    <t>Study Night o.ä.</t>
  </si>
  <si>
    <t>Teambuilding (Gruppenkuscheln?)</t>
  </si>
  <si>
    <t>Merchandise u.ä.</t>
  </si>
  <si>
    <t>Studienmaterial (z.B. Bautabellen, Laborkittel, etc.)</t>
  </si>
  <si>
    <t>Semesterticket Konto 1591 &amp; 1592</t>
  </si>
  <si>
    <t>Beitragseinnahmen anteilig WS 20/21 für 2021</t>
  </si>
  <si>
    <t>Ausgaben der FSRä</t>
  </si>
  <si>
    <t>BuFaK WiSo 2020 (einmalig!)</t>
  </si>
  <si>
    <t>Weihnachtsfeiern</t>
  </si>
  <si>
    <t>Erstifahrten</t>
  </si>
  <si>
    <t>Fakfeste &amp; Sommerfeste</t>
  </si>
  <si>
    <t>Spieleabende</t>
  </si>
  <si>
    <t>Semestereröffnungspartys (SEP)</t>
  </si>
  <si>
    <t>Veranstaltung zur fachlichen Weiterbildung / Studium</t>
  </si>
  <si>
    <t xml:space="preserve">Dienste für elektronische Datenverarbeitung </t>
  </si>
  <si>
    <t>Büromaterial und -ausstattung</t>
  </si>
  <si>
    <t>Für die Ermittlung der angeordneten Vermögensänderung des StuRa werden die geplanten Einnahmen als Obergrenze zu Grunde gelegt. Als Einnahmen werden dabei die vom Deckblatt berücksichtigt.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</si>
</sst>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0\ [$€-407];[Red]\-#,##0.00\ [$€-407]"/>
    <numFmt numFmtId="165" formatCode="_-* #,##0.00&quot; €&quot;_-;\-* #,##0.00&quot; €&quot;_-;_-* \-??&quot; €&quot;_-;_-@_-"/>
    <numFmt numFmtId="166" formatCode="#,##0.00\ &quot;€&quot;"/>
    <numFmt numFmtId="167" formatCode="#,##0.00\ &quot;€&quot;;[Red]\-\ #,##0.00\ &quot;€&quot;"/>
    <numFmt numFmtId="168" formatCode="h:mm;@"/>
    <numFmt numFmtId="169" formatCode="dd/mm/yy;@"/>
    <numFmt numFmtId="170" formatCode="#,##0.00\ &quot;€&quot;;[White]\-\ #,##0.00\ &quot;€&quot;"/>
  </numFmts>
  <fonts count="4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i/>
      <sz val="9"/>
      <color rgb="FF000000"/>
      <name val="Tahoma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</font>
    <font>
      <sz val="11"/>
      <color theme="1"/>
      <name val="Tahoma"/>
      <family val="2"/>
    </font>
    <font>
      <u val="singleAccounting"/>
      <sz val="9"/>
      <color rgb="FF000000"/>
      <name val="Tahoma"/>
      <family val="2"/>
    </font>
    <font>
      <u val="singleAccounting"/>
      <sz val="9"/>
      <color rgb="FF000000"/>
      <name val="Tahoma"/>
      <family val="2"/>
      <charset val="1"/>
    </font>
    <font>
      <b/>
      <sz val="12"/>
      <color rgb="FF000000"/>
      <name val="Tahoma"/>
      <family val="2"/>
    </font>
    <font>
      <b/>
      <sz val="9"/>
      <color theme="1"/>
      <name val="Tahoma"/>
      <family val="2"/>
    </font>
    <font>
      <sz val="10"/>
      <color rgb="FF000000"/>
      <name val="Tahoma"/>
      <family val="2"/>
      <charset val="1"/>
    </font>
    <font>
      <u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ahoma"/>
      <family val="2"/>
      <charset val="1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u/>
      <sz val="9"/>
      <name val="Tahoma"/>
      <family val="2"/>
    </font>
    <font>
      <u/>
      <sz val="9"/>
      <color rgb="FFFF0000"/>
      <name val="Tahoma"/>
      <family val="2"/>
    </font>
    <font>
      <u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color theme="0" tint="-4.9989318521683403E-2"/>
      <name val="Tahoma"/>
      <family val="2"/>
      <charset val="1"/>
    </font>
    <font>
      <sz val="9"/>
      <color theme="0" tint="-4.9989318521683403E-2"/>
      <name val="Tahoma"/>
      <family val="2"/>
    </font>
    <font>
      <sz val="11"/>
      <color theme="0" tint="-4.9989318521683403E-2"/>
      <name val="Tahoma"/>
      <family val="2"/>
    </font>
    <font>
      <sz val="10"/>
      <name val="Tahoma"/>
      <family val="2"/>
    </font>
    <font>
      <sz val="10"/>
      <color theme="0" tint="-4.9989318521683403E-2"/>
      <name val="Tahoma"/>
      <family val="2"/>
    </font>
    <font>
      <sz val="8"/>
      <color theme="1"/>
      <name val="Tahoma"/>
      <family val="2"/>
    </font>
    <font>
      <u/>
      <sz val="11"/>
      <color theme="0" tint="-4.9989318521683403E-2"/>
      <name val="Tahoma"/>
      <family val="2"/>
    </font>
    <font>
      <sz val="9"/>
      <color theme="0"/>
      <name val="Tahoma"/>
      <family val="2"/>
      <charset val="1"/>
    </font>
    <font>
      <b/>
      <u/>
      <sz val="9"/>
      <color rgb="FFFF0000"/>
      <name val="Tahoma"/>
      <family val="2"/>
    </font>
    <font>
      <sz val="9"/>
      <color theme="0"/>
      <name val="Tahoma"/>
      <family val="2"/>
    </font>
    <font>
      <b/>
      <u/>
      <sz val="9"/>
      <color theme="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A6A6A6"/>
        <bgColor rgb="FF999999"/>
      </patternFill>
    </fill>
    <fill>
      <patternFill patternType="solid">
        <fgColor rgb="FFFFCC99"/>
        <bgColor rgb="FFD9D9D9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0" tint="-4.9989318521683403E-2"/>
        <bgColor rgb="FFFF950E"/>
      </patternFill>
    </fill>
    <fill>
      <patternFill patternType="gray0625">
        <bgColor rgb="FFFFAFA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AFAF"/>
        <bgColor rgb="FFF2F2F2"/>
      </patternFill>
    </fill>
    <fill>
      <patternFill patternType="solid">
        <fgColor theme="9" tint="0.39997558519241921"/>
        <bgColor rgb="FFF2F2F2"/>
      </patternFill>
    </fill>
    <fill>
      <patternFill patternType="solid">
        <fgColor rgb="FFFFAFAF"/>
        <bgColor rgb="FFFF9900"/>
      </patternFill>
    </fill>
    <fill>
      <patternFill patternType="gray0625">
        <fgColor auto="1"/>
      </patternFill>
    </fill>
    <fill>
      <patternFill patternType="solid">
        <fgColor indexed="65"/>
        <bgColor auto="1"/>
      </patternFill>
    </fill>
    <fill>
      <patternFill patternType="gray0625">
        <fgColor theme="1"/>
        <bgColor theme="0"/>
      </patternFill>
    </fill>
    <fill>
      <patternFill patternType="gray0625">
        <bgColor theme="0"/>
      </patternFill>
    </fill>
    <fill>
      <patternFill patternType="solid">
        <fgColor rgb="FFF8C398"/>
        <bgColor indexed="64"/>
      </patternFill>
    </fill>
    <fill>
      <patternFill patternType="solid">
        <fgColor rgb="FFF8C398"/>
        <bgColor rgb="FFFF950E"/>
      </patternFill>
    </fill>
    <fill>
      <patternFill patternType="gray0625">
        <fgColor auto="1"/>
        <bgColor theme="0"/>
      </patternFill>
    </fill>
    <fill>
      <patternFill patternType="gray0625">
        <fgColor auto="1"/>
        <bgColor theme="0" tint="-4.9989318521683403E-2"/>
      </patternFill>
    </fill>
    <fill>
      <patternFill patternType="solid">
        <fgColor rgb="FFFFD85D"/>
        <bgColor rgb="FFFF950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6A6A"/>
        <bgColor indexed="64"/>
      </patternFill>
    </fill>
    <fill>
      <gradientFill>
        <stop position="0">
          <color rgb="FFF8C398"/>
        </stop>
        <stop position="1">
          <color rgb="FFF66A6A"/>
        </stop>
      </gradientFill>
    </fill>
    <fill>
      <patternFill patternType="gray0625">
        <fgColor auto="1"/>
        <bgColor auto="1"/>
      </patternFill>
    </fill>
    <fill>
      <patternFill patternType="solid">
        <fgColor indexed="65"/>
        <bgColor indexed="64"/>
      </patternFill>
    </fill>
    <fill>
      <patternFill patternType="gray0625">
        <bgColor auto="1"/>
      </patternFill>
    </fill>
    <fill>
      <patternFill patternType="gray0625">
        <fgColor auto="1"/>
        <bgColor rgb="FFFFD85D"/>
      </patternFill>
    </fill>
    <fill>
      <patternFill patternType="solid">
        <fgColor rgb="FFF8C398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4.9989318521683403E-2"/>
        <bgColor rgb="FFC00000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3" borderId="0"/>
  </cellStyleXfs>
  <cellXfs count="697">
    <xf numFmtId="0" fontId="0" fillId="0" borderId="0" xfId="0"/>
    <xf numFmtId="4" fontId="0" fillId="0" borderId="0" xfId="0" applyNumberFormat="1"/>
    <xf numFmtId="0" fontId="2" fillId="0" borderId="0" xfId="1" applyFont="1" applyFill="1" applyBorder="1" applyAlignment="1"/>
    <xf numFmtId="0" fontId="0" fillId="0" borderId="0" xfId="0" applyBorder="1"/>
    <xf numFmtId="0" fontId="10" fillId="0" borderId="0" xfId="0" applyFont="1" applyBorder="1"/>
    <xf numFmtId="4" fontId="10" fillId="0" borderId="0" xfId="0" applyNumberFormat="1" applyFont="1"/>
    <xf numFmtId="4" fontId="0" fillId="0" borderId="0" xfId="0" applyNumberFormat="1" applyBorder="1"/>
    <xf numFmtId="167" fontId="5" fillId="11" borderId="3" xfId="0" applyNumberFormat="1" applyFont="1" applyFill="1" applyBorder="1" applyAlignment="1" applyProtection="1">
      <alignment horizontal="right"/>
      <protection locked="0"/>
    </xf>
    <xf numFmtId="167" fontId="2" fillId="12" borderId="5" xfId="0" applyNumberFormat="1" applyFont="1" applyFill="1" applyBorder="1" applyAlignment="1" applyProtection="1">
      <alignment horizontal="right"/>
      <protection locked="0"/>
    </xf>
    <xf numFmtId="167" fontId="5" fillId="11" borderId="27" xfId="0" applyNumberFormat="1" applyFont="1" applyFill="1" applyBorder="1" applyAlignment="1" applyProtection="1">
      <alignment horizontal="right"/>
      <protection locked="0"/>
    </xf>
    <xf numFmtId="167" fontId="2" fillId="12" borderId="24" xfId="0" applyNumberFormat="1" applyFont="1" applyFill="1" applyBorder="1" applyAlignment="1" applyProtection="1">
      <alignment horizontal="right"/>
      <protection locked="0"/>
    </xf>
    <xf numFmtId="167" fontId="5" fillId="11" borderId="12" xfId="0" applyNumberFormat="1" applyFont="1" applyFill="1" applyBorder="1" applyAlignment="1" applyProtection="1">
      <alignment horizontal="right"/>
      <protection locked="0"/>
    </xf>
    <xf numFmtId="167" fontId="5" fillId="11" borderId="4" xfId="0" applyNumberFormat="1" applyFont="1" applyFill="1" applyBorder="1" applyAlignment="1" applyProtection="1">
      <alignment horizontal="right"/>
      <protection locked="0"/>
    </xf>
    <xf numFmtId="167" fontId="2" fillId="12" borderId="10" xfId="0" applyNumberFormat="1" applyFont="1" applyFill="1" applyBorder="1" applyAlignment="1" applyProtection="1">
      <alignment horizontal="right"/>
      <protection locked="0"/>
    </xf>
    <xf numFmtId="167" fontId="2" fillId="11" borderId="27" xfId="0" applyNumberFormat="1" applyFont="1" applyFill="1" applyBorder="1" applyAlignment="1" applyProtection="1">
      <alignment horizontal="right"/>
      <protection locked="0"/>
    </xf>
    <xf numFmtId="167" fontId="2" fillId="11" borderId="12" xfId="0" applyNumberFormat="1" applyFont="1" applyFill="1" applyBorder="1" applyAlignment="1" applyProtection="1">
      <alignment horizontal="right"/>
      <protection locked="0"/>
    </xf>
    <xf numFmtId="167" fontId="2" fillId="11" borderId="3" xfId="0" applyNumberFormat="1" applyFont="1" applyFill="1" applyBorder="1" applyAlignment="1" applyProtection="1">
      <alignment horizontal="right"/>
      <protection locked="0"/>
    </xf>
    <xf numFmtId="167" fontId="2" fillId="12" borderId="12" xfId="0" applyNumberFormat="1" applyFont="1" applyFill="1" applyBorder="1" applyAlignment="1" applyProtection="1">
      <alignment horizontal="right"/>
      <protection locked="0"/>
    </xf>
    <xf numFmtId="167" fontId="2" fillId="11" borderId="47" xfId="0" applyNumberFormat="1" applyFont="1" applyFill="1" applyBorder="1" applyAlignment="1" applyProtection="1">
      <alignment horizontal="right"/>
      <protection locked="0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29" xfId="0" applyNumberFormat="1" applyFont="1" applyFill="1" applyBorder="1" applyAlignment="1" applyProtection="1">
      <alignment horizontal="right"/>
    </xf>
    <xf numFmtId="167" fontId="2" fillId="11" borderId="4" xfId="0" applyNumberFormat="1" applyFont="1" applyFill="1" applyBorder="1" applyAlignment="1" applyProtection="1">
      <alignment horizontal="right"/>
    </xf>
    <xf numFmtId="167" fontId="11" fillId="7" borderId="47" xfId="0" applyNumberFormat="1" applyFont="1" applyFill="1" applyBorder="1" applyAlignment="1" applyProtection="1">
      <alignment horizontal="right"/>
    </xf>
    <xf numFmtId="167" fontId="11" fillId="7" borderId="11" xfId="0" applyNumberFormat="1" applyFont="1" applyFill="1" applyBorder="1" applyAlignment="1" applyProtection="1">
      <alignment horizontal="right"/>
    </xf>
    <xf numFmtId="167" fontId="3" fillId="14" borderId="13" xfId="0" applyNumberFormat="1" applyFont="1" applyFill="1" applyBorder="1" applyAlignment="1" applyProtection="1">
      <alignment horizontal="right"/>
    </xf>
    <xf numFmtId="167" fontId="11" fillId="7" borderId="9" xfId="0" applyNumberFormat="1" applyFont="1" applyFill="1" applyBorder="1" applyAlignment="1" applyProtection="1">
      <alignment horizontal="right"/>
    </xf>
    <xf numFmtId="167" fontId="12" fillId="7" borderId="10" xfId="0" applyNumberFormat="1" applyFont="1" applyFill="1" applyBorder="1" applyAlignment="1" applyProtection="1">
      <alignment horizontal="right"/>
    </xf>
    <xf numFmtId="167" fontId="12" fillId="7" borderId="11" xfId="0" applyNumberFormat="1" applyFont="1" applyFill="1" applyBorder="1" applyAlignment="1" applyProtection="1">
      <alignment horizontal="right"/>
    </xf>
    <xf numFmtId="167" fontId="12" fillId="7" borderId="9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164" fontId="5" fillId="4" borderId="22" xfId="0" applyNumberFormat="1" applyFont="1" applyFill="1" applyBorder="1" applyAlignment="1" applyProtection="1">
      <alignment horizontal="center"/>
    </xf>
    <xf numFmtId="164" fontId="5" fillId="4" borderId="31" xfId="0" applyNumberFormat="1" applyFont="1" applyFill="1" applyBorder="1" applyAlignment="1" applyProtection="1">
      <alignment horizontal="center"/>
    </xf>
    <xf numFmtId="164" fontId="5" fillId="4" borderId="32" xfId="0" applyNumberFormat="1" applyFont="1" applyFill="1" applyBorder="1" applyAlignment="1" applyProtection="1">
      <alignment horizontal="center"/>
    </xf>
    <xf numFmtId="0" fontId="5" fillId="4" borderId="31" xfId="0" applyFont="1" applyFill="1" applyBorder="1" applyAlignment="1" applyProtection="1">
      <alignment horizontal="center"/>
    </xf>
    <xf numFmtId="165" fontId="5" fillId="4" borderId="23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7" fontId="2" fillId="11" borderId="47" xfId="0" applyNumberFormat="1" applyFont="1" applyFill="1" applyBorder="1" applyAlignment="1" applyProtection="1">
      <alignment horizontal="right"/>
    </xf>
    <xf numFmtId="164" fontId="5" fillId="4" borderId="22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165" fontId="5" fillId="4" borderId="23" xfId="0" applyNumberFormat="1" applyFont="1" applyFill="1" applyBorder="1" applyAlignment="1" applyProtection="1">
      <alignment horizontal="center" vertical="center"/>
    </xf>
    <xf numFmtId="167" fontId="5" fillId="11" borderId="47" xfId="0" applyNumberFormat="1" applyFont="1" applyFill="1" applyBorder="1" applyAlignment="1" applyProtection="1">
      <alignment horizontal="right"/>
      <protection locked="0"/>
    </xf>
    <xf numFmtId="167" fontId="3" fillId="14" borderId="16" xfId="0" applyNumberFormat="1" applyFont="1" applyFill="1" applyBorder="1" applyAlignment="1" applyProtection="1">
      <alignment horizontal="right"/>
    </xf>
    <xf numFmtId="167" fontId="3" fillId="14" borderId="35" xfId="0" applyNumberFormat="1" applyFont="1" applyFill="1" applyBorder="1" applyAlignment="1" applyProtection="1">
      <alignment horizontal="right"/>
    </xf>
    <xf numFmtId="167" fontId="11" fillId="7" borderId="0" xfId="0" applyNumberFormat="1" applyFont="1" applyFill="1" applyBorder="1" applyAlignment="1" applyProtection="1">
      <alignment horizontal="right"/>
    </xf>
    <xf numFmtId="164" fontId="5" fillId="4" borderId="47" xfId="0" applyNumberFormat="1" applyFont="1" applyFill="1" applyBorder="1" applyAlignment="1" applyProtection="1">
      <alignment horizontal="center"/>
    </xf>
    <xf numFmtId="164" fontId="5" fillId="4" borderId="10" xfId="0" applyNumberFormat="1" applyFont="1" applyFill="1" applyBorder="1" applyAlignment="1" applyProtection="1">
      <alignment horizontal="center"/>
    </xf>
    <xf numFmtId="164" fontId="5" fillId="4" borderId="58" xfId="0" applyNumberFormat="1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165" fontId="5" fillId="4" borderId="11" xfId="0" applyNumberFormat="1" applyFont="1" applyFill="1" applyBorder="1" applyAlignment="1" applyProtection="1">
      <alignment horizontal="center"/>
    </xf>
    <xf numFmtId="167" fontId="6" fillId="14" borderId="35" xfId="0" applyNumberFormat="1" applyFont="1" applyFill="1" applyBorder="1" applyAlignment="1" applyProtection="1">
      <alignment horizontal="right"/>
    </xf>
    <xf numFmtId="164" fontId="5" fillId="4" borderId="9" xfId="0" applyNumberFormat="1" applyFont="1" applyFill="1" applyBorder="1" applyAlignment="1" applyProtection="1">
      <alignment horizontal="center"/>
    </xf>
    <xf numFmtId="164" fontId="5" fillId="4" borderId="53" xfId="0" applyNumberFormat="1" applyFont="1" applyFill="1" applyBorder="1" applyAlignment="1" applyProtection="1">
      <alignment horizontal="center"/>
    </xf>
    <xf numFmtId="167" fontId="5" fillId="12" borderId="24" xfId="0" applyNumberFormat="1" applyFont="1" applyFill="1" applyBorder="1" applyAlignment="1" applyProtection="1">
      <alignment horizontal="right"/>
      <protection locked="0"/>
    </xf>
    <xf numFmtId="167" fontId="5" fillId="0" borderId="29" xfId="0" applyNumberFormat="1" applyFont="1" applyFill="1" applyBorder="1" applyAlignment="1" applyProtection="1">
      <alignment horizontal="right"/>
    </xf>
    <xf numFmtId="167" fontId="5" fillId="12" borderId="10" xfId="0" applyNumberFormat="1" applyFont="1" applyFill="1" applyBorder="1" applyAlignment="1" applyProtection="1">
      <alignment horizontal="right"/>
      <protection locked="0"/>
    </xf>
    <xf numFmtId="167" fontId="5" fillId="0" borderId="11" xfId="0" applyNumberFormat="1" applyFont="1" applyFill="1" applyBorder="1" applyAlignment="1" applyProtection="1">
      <alignment horizontal="right"/>
    </xf>
    <xf numFmtId="167" fontId="5" fillId="12" borderId="5" xfId="0" applyNumberFormat="1" applyFont="1" applyFill="1" applyBorder="1" applyAlignment="1" applyProtection="1">
      <alignment horizontal="right"/>
      <protection locked="0"/>
    </xf>
    <xf numFmtId="167" fontId="5" fillId="0" borderId="7" xfId="0" applyNumberFormat="1" applyFont="1" applyFill="1" applyBorder="1" applyAlignment="1" applyProtection="1">
      <alignment horizontal="right"/>
    </xf>
    <xf numFmtId="167" fontId="2" fillId="12" borderId="24" xfId="0" applyNumberFormat="1" applyFont="1" applyFill="1" applyBorder="1" applyAlignment="1" applyProtection="1">
      <alignment horizontal="right" vertical="center"/>
      <protection locked="0"/>
    </xf>
    <xf numFmtId="167" fontId="2" fillId="0" borderId="29" xfId="0" applyNumberFormat="1" applyFont="1" applyFill="1" applyBorder="1" applyAlignment="1" applyProtection="1">
      <alignment horizontal="right" vertical="center"/>
    </xf>
    <xf numFmtId="167" fontId="5" fillId="11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7" fontId="5" fillId="11" borderId="4" xfId="0" applyNumberFormat="1" applyFont="1" applyFill="1" applyBorder="1" applyAlignment="1" applyProtection="1">
      <alignment horizontal="right" vertical="center"/>
      <protection locked="0"/>
    </xf>
    <xf numFmtId="167" fontId="2" fillId="12" borderId="5" xfId="0" applyNumberFormat="1" applyFont="1" applyFill="1" applyBorder="1" applyAlignment="1" applyProtection="1">
      <alignment horizontal="right" vertical="center"/>
      <protection locked="0"/>
    </xf>
    <xf numFmtId="167" fontId="5" fillId="11" borderId="3" xfId="0" applyNumberFormat="1" applyFont="1" applyFill="1" applyBorder="1" applyAlignment="1" applyProtection="1">
      <alignment horizontal="right" vertical="center"/>
      <protection locked="0"/>
    </xf>
    <xf numFmtId="167" fontId="2" fillId="0" borderId="7" xfId="0" applyNumberFormat="1" applyFont="1" applyFill="1" applyBorder="1" applyAlignment="1" applyProtection="1">
      <alignment horizontal="right" vertical="center"/>
    </xf>
    <xf numFmtId="167" fontId="2" fillId="12" borderId="10" xfId="0" applyNumberFormat="1" applyFont="1" applyFill="1" applyBorder="1" applyAlignment="1" applyProtection="1">
      <alignment horizontal="right" vertical="center"/>
      <protection locked="0"/>
    </xf>
    <xf numFmtId="167" fontId="5" fillId="11" borderId="42" xfId="0" applyNumberFormat="1" applyFont="1" applyFill="1" applyBorder="1" applyAlignment="1" applyProtection="1">
      <alignment horizontal="right"/>
      <protection locked="0"/>
    </xf>
    <xf numFmtId="167" fontId="5" fillId="12" borderId="55" xfId="0" applyNumberFormat="1" applyFont="1" applyFill="1" applyBorder="1" applyAlignment="1" applyProtection="1">
      <alignment horizontal="right"/>
      <protection locked="0"/>
    </xf>
    <xf numFmtId="167" fontId="5" fillId="12" borderId="5" xfId="0" applyNumberFormat="1" applyFont="1" applyFill="1" applyBorder="1" applyAlignment="1" applyProtection="1">
      <alignment horizontal="right" vertical="center"/>
      <protection locked="0"/>
    </xf>
    <xf numFmtId="167" fontId="5" fillId="0" borderId="29" xfId="0" applyNumberFormat="1" applyFont="1" applyFill="1" applyBorder="1" applyAlignment="1" applyProtection="1">
      <alignment horizontal="right" vertical="center"/>
    </xf>
    <xf numFmtId="167" fontId="5" fillId="9" borderId="33" xfId="0" applyNumberFormat="1" applyFont="1" applyFill="1" applyBorder="1" applyAlignment="1" applyProtection="1">
      <alignment horizontal="right"/>
    </xf>
    <xf numFmtId="167" fontId="2" fillId="9" borderId="2" xfId="0" applyNumberFormat="1" applyFont="1" applyFill="1" applyBorder="1" applyAlignment="1" applyProtection="1">
      <alignment horizontal="right"/>
    </xf>
    <xf numFmtId="167" fontId="2" fillId="9" borderId="25" xfId="0" applyNumberFormat="1" applyFont="1" applyFill="1" applyBorder="1" applyAlignment="1" applyProtection="1">
      <alignment horizontal="right"/>
    </xf>
    <xf numFmtId="167" fontId="5" fillId="18" borderId="47" xfId="0" applyNumberFormat="1" applyFont="1" applyFill="1" applyBorder="1" applyAlignment="1" applyProtection="1">
      <alignment horizontal="right"/>
    </xf>
    <xf numFmtId="167" fontId="2" fillId="19" borderId="11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 vertical="center"/>
    </xf>
    <xf numFmtId="167" fontId="3" fillId="14" borderId="13" xfId="0" applyNumberFormat="1" applyFont="1" applyFill="1" applyBorder="1" applyAlignment="1" applyProtection="1">
      <alignment horizontal="right" vertical="center"/>
    </xf>
    <xf numFmtId="167" fontId="3" fillId="14" borderId="16" xfId="0" applyNumberFormat="1" applyFont="1" applyFill="1" applyBorder="1" applyAlignment="1" applyProtection="1">
      <alignment horizontal="right" vertical="center"/>
    </xf>
    <xf numFmtId="0" fontId="2" fillId="9" borderId="38" xfId="0" applyFont="1" applyFill="1" applyBorder="1" applyAlignment="1" applyProtection="1"/>
    <xf numFmtId="0" fontId="4" fillId="9" borderId="0" xfId="0" applyFont="1" applyFill="1" applyBorder="1" applyAlignment="1" applyProtection="1"/>
    <xf numFmtId="0" fontId="2" fillId="9" borderId="17" xfId="0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7" fontId="11" fillId="7" borderId="31" xfId="0" applyNumberFormat="1" applyFont="1" applyFill="1" applyBorder="1" applyAlignment="1" applyProtection="1"/>
    <xf numFmtId="167" fontId="2" fillId="20" borderId="6" xfId="0" applyNumberFormat="1" applyFont="1" applyFill="1" applyBorder="1" applyAlignment="1" applyProtection="1">
      <alignment horizontal="right"/>
    </xf>
    <xf numFmtId="167" fontId="12" fillId="7" borderId="58" xfId="0" applyNumberFormat="1" applyFont="1" applyFill="1" applyBorder="1" applyAlignment="1" applyProtection="1">
      <alignment horizontal="right"/>
    </xf>
    <xf numFmtId="167" fontId="2" fillId="12" borderId="5" xfId="0" applyNumberFormat="1" applyFont="1" applyFill="1" applyBorder="1" applyAlignment="1" applyProtection="1">
      <alignment horizontal="right"/>
    </xf>
    <xf numFmtId="167" fontId="18" fillId="24" borderId="5" xfId="0" applyNumberFormat="1" applyFont="1" applyFill="1" applyBorder="1" applyAlignment="1" applyProtection="1"/>
    <xf numFmtId="165" fontId="5" fillId="4" borderId="32" xfId="0" applyNumberFormat="1" applyFont="1" applyFill="1" applyBorder="1" applyAlignment="1" applyProtection="1">
      <alignment horizontal="center"/>
    </xf>
    <xf numFmtId="167" fontId="5" fillId="0" borderId="28" xfId="0" applyNumberFormat="1" applyFont="1" applyFill="1" applyBorder="1" applyAlignment="1" applyProtection="1">
      <alignment horizontal="right"/>
    </xf>
    <xf numFmtId="167" fontId="5" fillId="0" borderId="6" xfId="0" applyNumberFormat="1" applyFont="1" applyFill="1" applyBorder="1" applyAlignment="1" applyProtection="1">
      <alignment horizontal="right"/>
    </xf>
    <xf numFmtId="167" fontId="5" fillId="0" borderId="6" xfId="0" applyNumberFormat="1" applyFont="1" applyFill="1" applyBorder="1" applyAlignment="1" applyProtection="1">
      <alignment horizontal="right" vertical="center"/>
    </xf>
    <xf numFmtId="167" fontId="5" fillId="0" borderId="58" xfId="0" applyNumberFormat="1" applyFont="1" applyFill="1" applyBorder="1" applyAlignment="1" applyProtection="1">
      <alignment horizontal="right"/>
    </xf>
    <xf numFmtId="167" fontId="3" fillId="14" borderId="14" xfId="0" applyNumberFormat="1" applyFont="1" applyFill="1" applyBorder="1" applyAlignment="1" applyProtection="1">
      <alignment horizontal="right"/>
    </xf>
    <xf numFmtId="167" fontId="23" fillId="22" borderId="13" xfId="0" applyNumberFormat="1" applyFont="1" applyFill="1" applyBorder="1" applyAlignment="1" applyProtection="1"/>
    <xf numFmtId="0" fontId="5" fillId="0" borderId="21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29" xfId="1" applyFont="1" applyFill="1" applyBorder="1" applyAlignment="1" applyProtection="1">
      <alignment horizontal="center"/>
      <protection locked="0"/>
    </xf>
    <xf numFmtId="0" fontId="5" fillId="0" borderId="62" xfId="1" applyFont="1" applyFill="1" applyBorder="1" applyAlignment="1" applyProtection="1">
      <alignment horizontal="center"/>
      <protection locked="0"/>
    </xf>
    <xf numFmtId="0" fontId="5" fillId="0" borderId="23" xfId="1" applyFont="1" applyFill="1" applyBorder="1" applyAlignment="1" applyProtection="1">
      <alignment horizontal="center"/>
      <protection locked="0"/>
    </xf>
    <xf numFmtId="0" fontId="5" fillId="0" borderId="43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7" fontId="2" fillId="12" borderId="5" xfId="0" applyNumberFormat="1" applyFont="1" applyFill="1" applyBorder="1" applyAlignment="1" applyProtection="1">
      <alignment horizontal="right" vertical="center"/>
    </xf>
    <xf numFmtId="167" fontId="5" fillId="11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67" fontId="2" fillId="12" borderId="10" xfId="0" applyNumberFormat="1" applyFont="1" applyFill="1" applyBorder="1" applyAlignment="1" applyProtection="1">
      <alignment horizontal="right" vertical="center"/>
    </xf>
    <xf numFmtId="167" fontId="5" fillId="11" borderId="47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Alignment="1" applyProtection="1"/>
    <xf numFmtId="0" fontId="16" fillId="0" borderId="38" xfId="0" applyFont="1" applyFill="1" applyBorder="1" applyAlignment="1" applyProtection="1"/>
    <xf numFmtId="167" fontId="21" fillId="9" borderId="19" xfId="0" applyNumberFormat="1" applyFont="1" applyFill="1" applyBorder="1" applyAlignment="1" applyProtection="1"/>
    <xf numFmtId="167" fontId="5" fillId="20" borderId="3" xfId="0" applyNumberFormat="1" applyFont="1" applyFill="1" applyBorder="1" applyAlignment="1" applyProtection="1">
      <alignment horizontal="right"/>
    </xf>
    <xf numFmtId="167" fontId="2" fillId="20" borderId="5" xfId="0" applyNumberFormat="1" applyFont="1" applyFill="1" applyBorder="1" applyAlignment="1" applyProtection="1">
      <alignment horizontal="right"/>
    </xf>
    <xf numFmtId="167" fontId="21" fillId="9" borderId="5" xfId="0" applyNumberFormat="1" applyFont="1" applyFill="1" applyBorder="1" applyAlignment="1" applyProtection="1"/>
    <xf numFmtId="167" fontId="22" fillId="22" borderId="24" xfId="0" applyNumberFormat="1" applyFont="1" applyFill="1" applyBorder="1" applyProtection="1"/>
    <xf numFmtId="2" fontId="2" fillId="0" borderId="39" xfId="0" applyNumberFormat="1" applyFont="1" applyBorder="1" applyAlignment="1" applyProtection="1">
      <alignment horizontal="left"/>
    </xf>
    <xf numFmtId="167" fontId="2" fillId="12" borderId="24" xfId="0" applyNumberFormat="1" applyFont="1" applyFill="1" applyBorder="1" applyAlignment="1" applyProtection="1">
      <alignment horizontal="right"/>
    </xf>
    <xf numFmtId="0" fontId="2" fillId="0" borderId="33" xfId="0" applyNumberFormat="1" applyFont="1" applyBorder="1" applyAlignment="1" applyProtection="1">
      <alignment horizontal="left"/>
    </xf>
    <xf numFmtId="167" fontId="5" fillId="11" borderId="4" xfId="0" applyNumberFormat="1" applyFont="1" applyFill="1" applyBorder="1" applyAlignment="1" applyProtection="1">
      <alignment horizontal="right"/>
    </xf>
    <xf numFmtId="167" fontId="2" fillId="12" borderId="10" xfId="0" applyNumberFormat="1" applyFont="1" applyFill="1" applyBorder="1" applyAlignment="1" applyProtection="1">
      <alignment horizontal="right"/>
    </xf>
    <xf numFmtId="8" fontId="6" fillId="0" borderId="35" xfId="0" applyNumberFormat="1" applyFont="1" applyBorder="1" applyAlignment="1" applyProtection="1">
      <alignment horizontal="right" vertical="center"/>
    </xf>
    <xf numFmtId="167" fontId="2" fillId="12" borderId="3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/>
    <xf numFmtId="167" fontId="2" fillId="8" borderId="10" xfId="0" applyNumberFormat="1" applyFont="1" applyFill="1" applyBorder="1" applyAlignment="1" applyProtection="1">
      <alignment horizontal="right"/>
      <protection locked="0"/>
    </xf>
    <xf numFmtId="167" fontId="5" fillId="11" borderId="33" xfId="0" applyNumberFormat="1" applyFont="1" applyFill="1" applyBorder="1" applyAlignment="1" applyProtection="1">
      <alignment horizontal="right"/>
    </xf>
    <xf numFmtId="167" fontId="2" fillId="26" borderId="4" xfId="0" applyNumberFormat="1" applyFont="1" applyFill="1" applyBorder="1" applyAlignment="1" applyProtection="1">
      <alignment horizontal="right"/>
    </xf>
    <xf numFmtId="167" fontId="2" fillId="26" borderId="22" xfId="0" applyNumberFormat="1" applyFont="1" applyFill="1" applyBorder="1" applyAlignment="1" applyProtection="1">
      <alignment horizontal="right"/>
    </xf>
    <xf numFmtId="167" fontId="2" fillId="12" borderId="31" xfId="0" applyNumberFormat="1" applyFont="1" applyFill="1" applyBorder="1" applyAlignment="1" applyProtection="1">
      <alignment horizontal="right"/>
    </xf>
    <xf numFmtId="167" fontId="2" fillId="0" borderId="23" xfId="0" applyNumberFormat="1" applyFont="1" applyFill="1" applyBorder="1" applyAlignment="1" applyProtection="1">
      <alignment horizontal="right"/>
    </xf>
    <xf numFmtId="167" fontId="12" fillId="13" borderId="47" xfId="0" applyNumberFormat="1" applyFont="1" applyFill="1" applyBorder="1" applyAlignment="1" applyProtection="1">
      <alignment horizontal="right"/>
    </xf>
    <xf numFmtId="167" fontId="12" fillId="13" borderId="10" xfId="0" applyNumberFormat="1" applyFont="1" applyFill="1" applyBorder="1" applyAlignment="1" applyProtection="1">
      <alignment horizontal="right"/>
    </xf>
    <xf numFmtId="167" fontId="12" fillId="13" borderId="11" xfId="0" applyNumberFormat="1" applyFont="1" applyFill="1" applyBorder="1" applyAlignment="1" applyProtection="1">
      <alignment horizontal="right"/>
    </xf>
    <xf numFmtId="167" fontId="11" fillId="13" borderId="42" xfId="0" applyNumberFormat="1" applyFont="1" applyFill="1" applyBorder="1" applyAlignment="1" applyProtection="1">
      <alignment horizontal="right"/>
    </xf>
    <xf numFmtId="167" fontId="11" fillId="13" borderId="55" xfId="0" applyNumberFormat="1" applyFont="1" applyFill="1" applyBorder="1" applyAlignment="1" applyProtection="1">
      <alignment horizontal="right"/>
    </xf>
    <xf numFmtId="167" fontId="11" fillId="13" borderId="54" xfId="0" applyNumberFormat="1" applyFont="1" applyFill="1" applyBorder="1" applyAlignment="1" applyProtection="1">
      <alignment horizontal="right"/>
    </xf>
    <xf numFmtId="0" fontId="13" fillId="5" borderId="45" xfId="0" applyFont="1" applyFill="1" applyBorder="1" applyAlignment="1" applyProtection="1">
      <alignment horizontal="left" vertical="center" wrapText="1"/>
    </xf>
    <xf numFmtId="0" fontId="13" fillId="5" borderId="40" xfId="0" applyFont="1" applyFill="1" applyBorder="1" applyAlignment="1" applyProtection="1">
      <alignment horizontal="left" vertical="center" wrapText="1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3" fillId="0" borderId="21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8" fillId="16" borderId="14" xfId="1" applyFont="1" applyFill="1" applyBorder="1" applyAlignment="1" applyProtection="1"/>
    <xf numFmtId="0" fontId="8" fillId="16" borderId="15" xfId="1" applyFont="1" applyFill="1" applyBorder="1" applyAlignment="1" applyProtection="1"/>
    <xf numFmtId="0" fontId="8" fillId="16" borderId="40" xfId="1" applyFont="1" applyFill="1" applyBorder="1" applyAlignment="1" applyProtection="1"/>
    <xf numFmtId="164" fontId="9" fillId="16" borderId="35" xfId="1" applyNumberFormat="1" applyFont="1" applyFill="1" applyBorder="1" applyAlignment="1" applyProtection="1"/>
    <xf numFmtId="0" fontId="0" fillId="0" borderId="0" xfId="0" applyProtection="1"/>
    <xf numFmtId="0" fontId="2" fillId="7" borderId="41" xfId="1" applyFont="1" applyFill="1" applyBorder="1" applyAlignment="1" applyProtection="1"/>
    <xf numFmtId="0" fontId="2" fillId="7" borderId="30" xfId="1" applyFont="1" applyFill="1" applyBorder="1" applyAlignment="1" applyProtection="1"/>
    <xf numFmtId="167" fontId="16" fillId="7" borderId="22" xfId="1" applyNumberFormat="1" applyFont="1" applyFill="1" applyBorder="1" applyAlignment="1" applyProtection="1"/>
    <xf numFmtId="167" fontId="16" fillId="17" borderId="31" xfId="1" applyNumberFormat="1" applyFont="1" applyFill="1" applyBorder="1" applyAlignment="1" applyProtection="1"/>
    <xf numFmtId="167" fontId="16" fillId="15" borderId="46" xfId="1" applyNumberFormat="1" applyFont="1" applyFill="1" applyBorder="1" applyAlignment="1" applyProtection="1"/>
    <xf numFmtId="167" fontId="20" fillId="16" borderId="15" xfId="1" applyNumberFormat="1" applyFont="1" applyFill="1" applyBorder="1" applyAlignment="1" applyProtection="1"/>
    <xf numFmtId="167" fontId="20" fillId="16" borderId="35" xfId="1" applyNumberFormat="1" applyFont="1" applyFill="1" applyBorder="1" applyAlignment="1" applyProtection="1"/>
    <xf numFmtId="0" fontId="2" fillId="7" borderId="18" xfId="1" applyFont="1" applyFill="1" applyBorder="1" applyAlignment="1" applyProtection="1"/>
    <xf numFmtId="0" fontId="2" fillId="7" borderId="1" xfId="1" applyFont="1" applyFill="1" applyBorder="1" applyAlignment="1" applyProtection="1"/>
    <xf numFmtId="0" fontId="2" fillId="0" borderId="39" xfId="1" applyFont="1" applyFill="1" applyBorder="1" applyAlignment="1" applyProtection="1">
      <alignment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center" vertical="center"/>
    </xf>
    <xf numFmtId="167" fontId="5" fillId="11" borderId="27" xfId="0" applyNumberFormat="1" applyFont="1" applyFill="1" applyBorder="1" applyAlignment="1" applyProtection="1">
      <alignment horizontal="right" vertical="center"/>
    </xf>
    <xf numFmtId="0" fontId="2" fillId="0" borderId="33" xfId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center" vertical="center"/>
    </xf>
    <xf numFmtId="0" fontId="0" fillId="7" borderId="39" xfId="0" applyFill="1" applyBorder="1" applyProtection="1"/>
    <xf numFmtId="0" fontId="0" fillId="7" borderId="8" xfId="0" applyFill="1" applyBorder="1" applyProtection="1"/>
    <xf numFmtId="167" fontId="16" fillId="17" borderId="60" xfId="1" applyNumberFormat="1" applyFont="1" applyFill="1" applyBorder="1" applyAlignment="1" applyProtection="1"/>
    <xf numFmtId="167" fontId="16" fillId="17" borderId="23" xfId="1" applyNumberFormat="1" applyFont="1" applyFill="1" applyBorder="1" applyAlignment="1" applyProtection="1"/>
    <xf numFmtId="0" fontId="2" fillId="0" borderId="54" xfId="1" applyFont="1" applyFill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0" fontId="5" fillId="0" borderId="51" xfId="1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/>
    </xf>
    <xf numFmtId="0" fontId="5" fillId="0" borderId="33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/>
    <xf numFmtId="0" fontId="5" fillId="0" borderId="50" xfId="1" applyFont="1" applyFill="1" applyBorder="1" applyAlignment="1" applyProtection="1"/>
    <xf numFmtId="0" fontId="5" fillId="0" borderId="5" xfId="1" applyFont="1" applyFill="1" applyBorder="1" applyAlignment="1" applyProtection="1"/>
    <xf numFmtId="0" fontId="5" fillId="0" borderId="5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>
      <alignment horizontal="left"/>
    </xf>
    <xf numFmtId="167" fontId="5" fillId="11" borderId="3" xfId="0" applyNumberFormat="1" applyFont="1" applyFill="1" applyBorder="1" applyAlignment="1" applyProtection="1">
      <alignment horizontal="right"/>
    </xf>
    <xf numFmtId="0" fontId="10" fillId="0" borderId="0" xfId="0" applyFont="1"/>
    <xf numFmtId="0" fontId="21" fillId="0" borderId="0" xfId="0" applyFont="1"/>
    <xf numFmtId="0" fontId="21" fillId="27" borderId="68" xfId="0" applyFont="1" applyFill="1" applyBorder="1" applyAlignment="1">
      <alignment horizontal="center" vertical="center"/>
    </xf>
    <xf numFmtId="0" fontId="21" fillId="27" borderId="69" xfId="0" applyFont="1" applyFill="1" applyBorder="1" applyAlignment="1">
      <alignment horizontal="center" vertical="center"/>
    </xf>
    <xf numFmtId="167" fontId="0" fillId="0" borderId="0" xfId="0" applyNumberFormat="1" applyAlignment="1" applyProtection="1"/>
    <xf numFmtId="0" fontId="21" fillId="9" borderId="48" xfId="0" applyFont="1" applyFill="1" applyBorder="1" applyAlignment="1" applyProtection="1"/>
    <xf numFmtId="0" fontId="21" fillId="9" borderId="17" xfId="0" applyFont="1" applyFill="1" applyBorder="1" applyAlignment="1" applyProtection="1"/>
    <xf numFmtId="0" fontId="21" fillId="9" borderId="37" xfId="0" applyFont="1" applyFill="1" applyBorder="1" applyAlignment="1" applyProtection="1"/>
    <xf numFmtId="167" fontId="21" fillId="9" borderId="20" xfId="0" applyNumberFormat="1" applyFont="1" applyFill="1" applyBorder="1" applyAlignment="1" applyProtection="1"/>
    <xf numFmtId="167" fontId="21" fillId="9" borderId="4" xfId="0" applyNumberFormat="1" applyFont="1" applyFill="1" applyBorder="1" applyAlignment="1" applyProtection="1"/>
    <xf numFmtId="167" fontId="2" fillId="0" borderId="58" xfId="0" applyNumberFormat="1" applyFont="1" applyFill="1" applyBorder="1" applyAlignment="1" applyProtection="1">
      <alignment horizontal="right"/>
    </xf>
    <xf numFmtId="167" fontId="11" fillId="7" borderId="22" xfId="0" applyNumberFormat="1" applyFont="1" applyFill="1" applyBorder="1" applyAlignment="1" applyProtection="1"/>
    <xf numFmtId="167" fontId="27" fillId="7" borderId="22" xfId="0" applyNumberFormat="1" applyFont="1" applyFill="1" applyBorder="1" applyAlignment="1" applyProtection="1"/>
    <xf numFmtId="167" fontId="28" fillId="7" borderId="53" xfId="0" applyNumberFormat="1" applyFont="1" applyFill="1" applyBorder="1" applyAlignment="1" applyProtection="1"/>
    <xf numFmtId="167" fontId="11" fillId="7" borderId="10" xfId="0" applyNumberFormat="1" applyFont="1" applyFill="1" applyBorder="1" applyAlignment="1" applyProtection="1">
      <alignment horizontal="right"/>
    </xf>
    <xf numFmtId="167" fontId="11" fillId="7" borderId="58" xfId="0" applyNumberFormat="1" applyFont="1" applyFill="1" applyBorder="1" applyAlignment="1" applyProtection="1">
      <alignment horizontal="right"/>
    </xf>
    <xf numFmtId="3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67" fontId="11" fillId="7" borderId="42" xfId="0" applyNumberFormat="1" applyFont="1" applyFill="1" applyBorder="1" applyAlignment="1" applyProtection="1">
      <alignment horizontal="right"/>
    </xf>
    <xf numFmtId="167" fontId="12" fillId="7" borderId="55" xfId="0" applyNumberFormat="1" applyFont="1" applyFill="1" applyBorder="1" applyAlignment="1" applyProtection="1">
      <alignment horizontal="right"/>
    </xf>
    <xf numFmtId="167" fontId="12" fillId="7" borderId="43" xfId="0" applyNumberFormat="1" applyFont="1" applyFill="1" applyBorder="1" applyAlignment="1" applyProtection="1">
      <alignment horizontal="right"/>
    </xf>
    <xf numFmtId="167" fontId="11" fillId="7" borderId="72" xfId="0" applyNumberFormat="1" applyFont="1" applyFill="1" applyBorder="1" applyAlignment="1" applyProtection="1">
      <alignment horizontal="right"/>
    </xf>
    <xf numFmtId="167" fontId="12" fillId="7" borderId="54" xfId="0" applyNumberFormat="1" applyFont="1" applyFill="1" applyBorder="1" applyAlignment="1" applyProtection="1">
      <alignment horizontal="right"/>
    </xf>
    <xf numFmtId="164" fontId="5" fillId="4" borderId="47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horizontal="center" vertical="center"/>
    </xf>
    <xf numFmtId="164" fontId="5" fillId="4" borderId="58" xfId="0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165" fontId="5" fillId="4" borderId="11" xfId="0" applyNumberFormat="1" applyFont="1" applyFill="1" applyBorder="1" applyAlignment="1" applyProtection="1">
      <alignment horizontal="center" vertical="center"/>
    </xf>
    <xf numFmtId="167" fontId="5" fillId="11" borderId="27" xfId="0" applyNumberFormat="1" applyFont="1" applyFill="1" applyBorder="1" applyAlignment="1" applyProtection="1">
      <alignment horizontal="right"/>
    </xf>
    <xf numFmtId="167" fontId="14" fillId="9" borderId="5" xfId="0" applyNumberFormat="1" applyFont="1" applyFill="1" applyBorder="1" applyAlignment="1" applyProtection="1"/>
    <xf numFmtId="167" fontId="21" fillId="22" borderId="5" xfId="0" applyNumberFormat="1" applyFont="1" applyFill="1" applyBorder="1" applyProtection="1"/>
    <xf numFmtId="167" fontId="5" fillId="22" borderId="5" xfId="0" applyNumberFormat="1" applyFont="1" applyFill="1" applyBorder="1" applyAlignment="1" applyProtection="1"/>
    <xf numFmtId="0" fontId="21" fillId="0" borderId="7" xfId="0" applyFont="1" applyBorder="1" applyAlignment="1" applyProtection="1"/>
    <xf numFmtId="167" fontId="2" fillId="0" borderId="28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0" borderId="32" xfId="0" applyNumberFormat="1" applyFont="1" applyFill="1" applyBorder="1" applyAlignment="1" applyProtection="1">
      <alignment horizontal="right"/>
    </xf>
    <xf numFmtId="167" fontId="5" fillId="24" borderId="20" xfId="0" applyNumberFormat="1" applyFont="1" applyFill="1" applyBorder="1" applyAlignment="1" applyProtection="1"/>
    <xf numFmtId="167" fontId="5" fillId="24" borderId="19" xfId="0" applyNumberFormat="1" applyFont="1" applyFill="1" applyBorder="1" applyAlignment="1" applyProtection="1"/>
    <xf numFmtId="0" fontId="21" fillId="0" borderId="21" xfId="0" applyFont="1" applyBorder="1" applyAlignment="1" applyProtection="1"/>
    <xf numFmtId="167" fontId="18" fillId="24" borderId="27" xfId="0" applyNumberFormat="1" applyFont="1" applyFill="1" applyBorder="1" applyAlignment="1" applyProtection="1"/>
    <xf numFmtId="167" fontId="18" fillId="24" borderId="4" xfId="0" applyNumberFormat="1" applyFont="1" applyFill="1" applyBorder="1" applyAlignment="1" applyProtection="1"/>
    <xf numFmtId="167" fontId="27" fillId="7" borderId="31" xfId="0" applyNumberFormat="1" applyFont="1" applyFill="1" applyBorder="1" applyAlignment="1" applyProtection="1"/>
    <xf numFmtId="167" fontId="21" fillId="28" borderId="7" xfId="0" applyNumberFormat="1" applyFont="1" applyFill="1" applyBorder="1" applyAlignment="1" applyProtection="1"/>
    <xf numFmtId="167" fontId="29" fillId="7" borderId="23" xfId="0" applyNumberFormat="1" applyFont="1" applyFill="1" applyBorder="1" applyAlignment="1" applyProtection="1"/>
    <xf numFmtId="0" fontId="21" fillId="9" borderId="44" xfId="0" applyFont="1" applyFill="1" applyBorder="1" applyAlignment="1" applyProtection="1"/>
    <xf numFmtId="0" fontId="21" fillId="9" borderId="38" xfId="0" applyFont="1" applyFill="1" applyBorder="1" applyAlignment="1" applyProtection="1"/>
    <xf numFmtId="0" fontId="21" fillId="9" borderId="36" xfId="0" applyFont="1" applyFill="1" applyBorder="1" applyAlignment="1" applyProtection="1"/>
    <xf numFmtId="167" fontId="6" fillId="22" borderId="57" xfId="0" applyNumberFormat="1" applyFont="1" applyFill="1" applyBorder="1" applyAlignment="1" applyProtection="1"/>
    <xf numFmtId="167" fontId="21" fillId="29" borderId="27" xfId="0" applyNumberFormat="1" applyFont="1" applyFill="1" applyBorder="1" applyProtection="1"/>
    <xf numFmtId="167" fontId="21" fillId="29" borderId="42" xfId="0" applyNumberFormat="1" applyFont="1" applyFill="1" applyBorder="1" applyProtection="1"/>
    <xf numFmtId="167" fontId="6" fillId="29" borderId="13" xfId="0" applyNumberFormat="1" applyFont="1" applyFill="1" applyBorder="1" applyAlignment="1" applyProtection="1"/>
    <xf numFmtId="0" fontId="10" fillId="0" borderId="0" xfId="0" applyFont="1" applyAlignment="1"/>
    <xf numFmtId="49" fontId="0" fillId="0" borderId="0" xfId="0" applyNumberFormat="1"/>
    <xf numFmtId="49" fontId="30" fillId="0" borderId="0" xfId="0" applyNumberFormat="1" applyFont="1" applyAlignment="1">
      <alignment horizontal="center"/>
    </xf>
    <xf numFmtId="167" fontId="21" fillId="29" borderId="27" xfId="0" applyNumberFormat="1" applyFont="1" applyFill="1" applyBorder="1" applyAlignment="1" applyProtection="1">
      <alignment horizontal="right" vertical="center"/>
    </xf>
    <xf numFmtId="167" fontId="21" fillId="28" borderId="7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1" fillId="9" borderId="21" xfId="0" applyFont="1" applyFill="1" applyBorder="1" applyAlignment="1" applyProtection="1"/>
    <xf numFmtId="167" fontId="21" fillId="9" borderId="7" xfId="0" applyNumberFormat="1" applyFont="1" applyFill="1" applyBorder="1" applyAlignment="1" applyProtection="1"/>
    <xf numFmtId="167" fontId="14" fillId="29" borderId="14" xfId="0" applyNumberFormat="1" applyFont="1" applyFill="1" applyBorder="1" applyProtection="1"/>
    <xf numFmtId="167" fontId="23" fillId="22" borderId="13" xfId="0" applyNumberFormat="1" applyFont="1" applyFill="1" applyBorder="1" applyProtection="1"/>
    <xf numFmtId="167" fontId="14" fillId="22" borderId="13" xfId="0" applyNumberFormat="1" applyFont="1" applyFill="1" applyBorder="1" applyProtection="1"/>
    <xf numFmtId="167" fontId="14" fillId="28" borderId="35" xfId="0" applyNumberFormat="1" applyFont="1" applyFill="1" applyBorder="1" applyAlignment="1" applyProtection="1"/>
    <xf numFmtId="0" fontId="30" fillId="0" borderId="0" xfId="0" applyFont="1"/>
    <xf numFmtId="4" fontId="32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left"/>
    </xf>
    <xf numFmtId="167" fontId="6" fillId="31" borderId="13" xfId="0" applyNumberFormat="1" applyFont="1" applyFill="1" applyBorder="1" applyAlignment="1" applyProtection="1">
      <alignment horizontal="center" vertical="center"/>
    </xf>
    <xf numFmtId="167" fontId="5" fillId="11" borderId="20" xfId="0" applyNumberFormat="1" applyFont="1" applyFill="1" applyBorder="1" applyAlignment="1" applyProtection="1">
      <alignment horizontal="right"/>
    </xf>
    <xf numFmtId="167" fontId="2" fillId="25" borderId="19" xfId="0" applyNumberFormat="1" applyFont="1" applyFill="1" applyBorder="1" applyAlignment="1" applyProtection="1">
      <alignment horizontal="right"/>
    </xf>
    <xf numFmtId="167" fontId="21" fillId="27" borderId="46" xfId="0" applyNumberFormat="1" applyFont="1" applyFill="1" applyBorder="1" applyAlignment="1">
      <alignment horizontal="center" vertical="center"/>
    </xf>
    <xf numFmtId="167" fontId="21" fillId="27" borderId="34" xfId="0" applyNumberFormat="1" applyFont="1" applyFill="1" applyBorder="1" applyAlignment="1">
      <alignment horizontal="center" vertical="center"/>
    </xf>
    <xf numFmtId="167" fontId="14" fillId="28" borderId="57" xfId="0" applyNumberFormat="1" applyFont="1" applyFill="1" applyBorder="1" applyAlignment="1" applyProtection="1"/>
    <xf numFmtId="0" fontId="30" fillId="0" borderId="0" xfId="0" applyFont="1" applyAlignment="1" applyProtection="1"/>
    <xf numFmtId="0" fontId="5" fillId="0" borderId="4" xfId="1" applyFont="1" applyFill="1" applyBorder="1" applyAlignment="1" applyProtection="1"/>
    <xf numFmtId="167" fontId="21" fillId="29" borderId="20" xfId="0" applyNumberFormat="1" applyFont="1" applyFill="1" applyBorder="1" applyProtection="1"/>
    <xf numFmtId="167" fontId="22" fillId="22" borderId="19" xfId="0" applyNumberFormat="1" applyFont="1" applyFill="1" applyBorder="1" applyProtection="1"/>
    <xf numFmtId="167" fontId="21" fillId="22" borderId="19" xfId="0" applyNumberFormat="1" applyFont="1" applyFill="1" applyBorder="1" applyProtection="1"/>
    <xf numFmtId="167" fontId="21" fillId="28" borderId="21" xfId="0" applyNumberFormat="1" applyFont="1" applyFill="1" applyBorder="1" applyAlignment="1" applyProtection="1"/>
    <xf numFmtId="167" fontId="21" fillId="29" borderId="4" xfId="0" applyNumberFormat="1" applyFont="1" applyFill="1" applyBorder="1" applyProtection="1"/>
    <xf numFmtId="0" fontId="2" fillId="0" borderId="33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right" vertical="center"/>
    </xf>
    <xf numFmtId="49" fontId="21" fillId="0" borderId="6" xfId="0" applyNumberFormat="1" applyFont="1" applyBorder="1" applyAlignment="1">
      <alignment horizontal="left"/>
    </xf>
    <xf numFmtId="4" fontId="29" fillId="0" borderId="0" xfId="0" applyNumberFormat="1" applyFont="1" applyAlignment="1"/>
    <xf numFmtId="0" fontId="25" fillId="0" borderId="0" xfId="0" applyFont="1"/>
    <xf numFmtId="0" fontId="36" fillId="0" borderId="0" xfId="0" applyFont="1"/>
    <xf numFmtId="49" fontId="35" fillId="0" borderId="0" xfId="0" applyNumberFormat="1" applyFont="1" applyFill="1" applyAlignment="1">
      <alignment wrapText="1"/>
    </xf>
    <xf numFmtId="49" fontId="35" fillId="35" borderId="38" xfId="0" applyNumberFormat="1" applyFont="1" applyFill="1" applyBorder="1"/>
    <xf numFmtId="49" fontId="25" fillId="35" borderId="36" xfId="0" applyNumberFormat="1" applyFont="1" applyFill="1" applyBorder="1"/>
    <xf numFmtId="0" fontId="24" fillId="0" borderId="0" xfId="0" applyFont="1"/>
    <xf numFmtId="0" fontId="14" fillId="0" borderId="0" xfId="0" applyFont="1"/>
    <xf numFmtId="167" fontId="33" fillId="35" borderId="27" xfId="0" applyNumberFormat="1" applyFont="1" applyFill="1" applyBorder="1" applyAlignment="1" applyProtection="1">
      <alignment horizontal="right"/>
    </xf>
    <xf numFmtId="167" fontId="16" fillId="17" borderId="53" xfId="1" applyNumberFormat="1" applyFont="1" applyFill="1" applyBorder="1" applyAlignment="1" applyProtection="1"/>
    <xf numFmtId="167" fontId="34" fillId="35" borderId="18" xfId="0" applyNumberFormat="1" applyFont="1" applyFill="1" applyBorder="1" applyAlignment="1" applyProtection="1">
      <alignment horizontal="right" vertical="center"/>
    </xf>
    <xf numFmtId="167" fontId="33" fillId="35" borderId="11" xfId="0" applyNumberFormat="1" applyFont="1" applyFill="1" applyBorder="1" applyAlignment="1" applyProtection="1">
      <alignment horizontal="right" vertical="center"/>
    </xf>
    <xf numFmtId="167" fontId="34" fillId="37" borderId="5" xfId="0" applyNumberFormat="1" applyFont="1" applyFill="1" applyBorder="1" applyAlignment="1" applyProtection="1">
      <alignment horizontal="right" vertical="center"/>
    </xf>
    <xf numFmtId="167" fontId="34" fillId="37" borderId="58" xfId="0" applyNumberFormat="1" applyFont="1" applyFill="1" applyBorder="1" applyAlignment="1" applyProtection="1">
      <alignment horizontal="right" vertical="center"/>
    </xf>
    <xf numFmtId="167" fontId="33" fillId="37" borderId="24" xfId="0" applyNumberFormat="1" applyFont="1" applyFill="1" applyBorder="1" applyAlignment="1" applyProtection="1">
      <alignment horizontal="right"/>
    </xf>
    <xf numFmtId="167" fontId="33" fillId="37" borderId="24" xfId="0" applyNumberFormat="1" applyFont="1" applyFill="1" applyBorder="1" applyAlignment="1" applyProtection="1">
      <alignment horizontal="right"/>
      <protection locked="0"/>
    </xf>
    <xf numFmtId="167" fontId="33" fillId="35" borderId="12" xfId="0" applyNumberFormat="1" applyFont="1" applyFill="1" applyBorder="1" applyAlignment="1" applyProtection="1">
      <alignment horizontal="right"/>
    </xf>
    <xf numFmtId="4" fontId="32" fillId="0" borderId="0" xfId="0" applyNumberFormat="1" applyFont="1" applyAlignment="1">
      <alignment horizontal="right" vertical="center" wrapText="1"/>
    </xf>
    <xf numFmtId="4" fontId="29" fillId="0" borderId="72" xfId="0" applyNumberFormat="1" applyFont="1" applyBorder="1" applyAlignment="1">
      <alignment horizontal="left"/>
    </xf>
    <xf numFmtId="167" fontId="21" fillId="0" borderId="5" xfId="0" applyNumberFormat="1" applyFont="1" applyBorder="1"/>
    <xf numFmtId="170" fontId="34" fillId="35" borderId="7" xfId="0" applyNumberFormat="1" applyFont="1" applyFill="1" applyBorder="1" applyAlignment="1" applyProtection="1">
      <alignment horizontal="right"/>
    </xf>
    <xf numFmtId="170" fontId="34" fillId="35" borderId="29" xfId="0" applyNumberFormat="1" applyFont="1" applyFill="1" applyBorder="1" applyAlignment="1" applyProtection="1">
      <alignment horizontal="right"/>
    </xf>
    <xf numFmtId="167" fontId="2" fillId="0" borderId="21" xfId="0" applyNumberFormat="1" applyFont="1" applyFill="1" applyBorder="1" applyAlignment="1" applyProtection="1">
      <alignment horizontal="right"/>
    </xf>
    <xf numFmtId="167" fontId="21" fillId="22" borderId="24" xfId="0" applyNumberFormat="1" applyFont="1" applyFill="1" applyBorder="1" applyProtection="1"/>
    <xf numFmtId="167" fontId="21" fillId="28" borderId="29" xfId="0" applyNumberFormat="1" applyFont="1" applyFill="1" applyBorder="1" applyAlignment="1" applyProtection="1"/>
    <xf numFmtId="8" fontId="21" fillId="0" borderId="0" xfId="0" applyNumberFormat="1" applyFont="1"/>
    <xf numFmtId="167" fontId="40" fillId="35" borderId="7" xfId="0" applyNumberFormat="1" applyFont="1" applyFill="1" applyBorder="1" applyAlignment="1" applyProtection="1">
      <alignment horizontal="right" vertical="center"/>
    </xf>
    <xf numFmtId="8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1" fillId="0" borderId="0" xfId="0" applyFont="1" applyFill="1" applyBorder="1"/>
    <xf numFmtId="167" fontId="21" fillId="0" borderId="0" xfId="0" applyNumberFormat="1" applyFont="1"/>
    <xf numFmtId="166" fontId="21" fillId="0" borderId="0" xfId="0" applyNumberFormat="1" applyFont="1"/>
    <xf numFmtId="0" fontId="31" fillId="0" borderId="0" xfId="0" applyFont="1"/>
    <xf numFmtId="166" fontId="31" fillId="0" borderId="0" xfId="0" applyNumberFormat="1" applyFont="1"/>
    <xf numFmtId="166" fontId="31" fillId="0" borderId="0" xfId="0" applyNumberFormat="1" applyFont="1" applyAlignment="1">
      <alignment horizontal="left"/>
    </xf>
    <xf numFmtId="49" fontId="3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49" fontId="21" fillId="22" borderId="6" xfId="0" applyNumberFormat="1" applyFont="1" applyFill="1" applyBorder="1" applyAlignment="1">
      <alignment horizontal="left"/>
    </xf>
    <xf numFmtId="167" fontId="21" fillId="22" borderId="5" xfId="0" applyNumberFormat="1" applyFont="1" applyFill="1" applyBorder="1"/>
    <xf numFmtId="49" fontId="21" fillId="0" borderId="6" xfId="0" applyNumberFormat="1" applyFont="1" applyFill="1" applyBorder="1" applyAlignment="1">
      <alignment horizontal="left" vertical="center"/>
    </xf>
    <xf numFmtId="167" fontId="18" fillId="0" borderId="5" xfId="0" applyNumberFormat="1" applyFont="1" applyFill="1" applyBorder="1" applyAlignment="1">
      <alignment horizontal="right" vertical="center" wrapText="1"/>
    </xf>
    <xf numFmtId="1" fontId="21" fillId="0" borderId="5" xfId="0" applyNumberFormat="1" applyFont="1" applyFill="1" applyBorder="1"/>
    <xf numFmtId="49" fontId="21" fillId="38" borderId="6" xfId="0" applyNumberFormat="1" applyFont="1" applyFill="1" applyBorder="1" applyAlignment="1">
      <alignment horizontal="left"/>
    </xf>
    <xf numFmtId="167" fontId="21" fillId="38" borderId="6" xfId="0" applyNumberFormat="1" applyFont="1" applyFill="1" applyBorder="1"/>
    <xf numFmtId="167" fontId="42" fillId="35" borderId="5" xfId="0" applyNumberFormat="1" applyFont="1" applyFill="1" applyBorder="1"/>
    <xf numFmtId="49" fontId="42" fillId="35" borderId="6" xfId="0" applyNumberFormat="1" applyFont="1" applyFill="1" applyBorder="1" applyAlignment="1">
      <alignment horizontal="left"/>
    </xf>
    <xf numFmtId="8" fontId="30" fillId="0" borderId="0" xfId="0" applyNumberFormat="1" applyFont="1"/>
    <xf numFmtId="166" fontId="30" fillId="0" borderId="0" xfId="0" applyNumberFormat="1" applyFont="1" applyAlignment="1">
      <alignment horizontal="left"/>
    </xf>
    <xf numFmtId="0" fontId="21" fillId="27" borderId="71" xfId="0" applyFont="1" applyFill="1" applyBorder="1" applyAlignment="1">
      <alignment horizontal="center" vertical="center"/>
    </xf>
    <xf numFmtId="167" fontId="21" fillId="27" borderId="26" xfId="0" applyNumberFormat="1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166" fontId="43" fillId="39" borderId="76" xfId="0" applyNumberFormat="1" applyFont="1" applyFill="1" applyBorder="1"/>
    <xf numFmtId="167" fontId="2" fillId="34" borderId="36" xfId="0" applyNumberFormat="1" applyFont="1" applyFill="1" applyBorder="1" applyAlignment="1" applyProtection="1">
      <alignment horizontal="right" vertical="center"/>
    </xf>
    <xf numFmtId="167" fontId="2" fillId="23" borderId="55" xfId="0" applyNumberFormat="1" applyFont="1" applyFill="1" applyBorder="1" applyAlignment="1" applyProtection="1">
      <alignment horizontal="right" vertical="center"/>
    </xf>
    <xf numFmtId="167" fontId="2" fillId="22" borderId="62" xfId="0" applyNumberFormat="1" applyFont="1" applyFill="1" applyBorder="1" applyAlignment="1" applyProtection="1">
      <alignment horizontal="right" vertical="center"/>
    </xf>
    <xf numFmtId="167" fontId="5" fillId="33" borderId="36" xfId="0" applyNumberFormat="1" applyFont="1" applyFill="1" applyBorder="1" applyAlignment="1" applyProtection="1">
      <alignment horizontal="right" vertical="center"/>
    </xf>
    <xf numFmtId="167" fontId="2" fillId="25" borderId="77" xfId="0" applyNumberFormat="1" applyFont="1" applyFill="1" applyBorder="1" applyAlignment="1" applyProtection="1">
      <alignment horizontal="right" vertical="center"/>
    </xf>
    <xf numFmtId="167" fontId="2" fillId="18" borderId="62" xfId="0" applyNumberFormat="1" applyFont="1" applyFill="1" applyBorder="1" applyAlignment="1" applyProtection="1">
      <alignment horizontal="right" vertical="center"/>
    </xf>
    <xf numFmtId="167" fontId="2" fillId="34" borderId="33" xfId="0" applyNumberFormat="1" applyFont="1" applyFill="1" applyBorder="1" applyAlignment="1" applyProtection="1">
      <alignment horizontal="right" vertical="center"/>
    </xf>
    <xf numFmtId="167" fontId="2" fillId="23" borderId="5" xfId="0" applyNumberFormat="1" applyFont="1" applyFill="1" applyBorder="1" applyAlignment="1" applyProtection="1">
      <alignment horizontal="right" vertical="center"/>
    </xf>
    <xf numFmtId="167" fontId="2" fillId="22" borderId="7" xfId="0" applyNumberFormat="1" applyFont="1" applyFill="1" applyBorder="1" applyAlignment="1" applyProtection="1">
      <alignment horizontal="right" vertical="center"/>
    </xf>
    <xf numFmtId="167" fontId="5" fillId="33" borderId="33" xfId="0" applyNumberFormat="1" applyFont="1" applyFill="1" applyBorder="1" applyAlignment="1" applyProtection="1">
      <alignment horizontal="right" vertical="center"/>
    </xf>
    <xf numFmtId="167" fontId="2" fillId="25" borderId="6" xfId="0" applyNumberFormat="1" applyFont="1" applyFill="1" applyBorder="1" applyAlignment="1" applyProtection="1">
      <alignment horizontal="right" vertical="center"/>
    </xf>
    <xf numFmtId="167" fontId="2" fillId="18" borderId="7" xfId="0" applyNumberFormat="1" applyFont="1" applyFill="1" applyBorder="1" applyAlignment="1" applyProtection="1">
      <alignment horizontal="right" vertical="center"/>
    </xf>
    <xf numFmtId="0" fontId="0" fillId="0" borderId="20" xfId="0" applyBorder="1"/>
    <xf numFmtId="8" fontId="0" fillId="0" borderId="21" xfId="0" applyNumberFormat="1" applyBorder="1"/>
    <xf numFmtId="0" fontId="0" fillId="0" borderId="4" xfId="0" applyBorder="1"/>
    <xf numFmtId="8" fontId="0" fillId="0" borderId="7" xfId="0" applyNumberFormat="1" applyBorder="1"/>
    <xf numFmtId="8" fontId="31" fillId="0" borderId="7" xfId="0" applyNumberFormat="1" applyFont="1" applyBorder="1"/>
    <xf numFmtId="8" fontId="0" fillId="0" borderId="7" xfId="0" applyNumberFormat="1" applyFont="1" applyBorder="1"/>
    <xf numFmtId="0" fontId="0" fillId="41" borderId="4" xfId="0" applyFill="1" applyBorder="1"/>
    <xf numFmtId="8" fontId="0" fillId="41" borderId="7" xfId="0" applyNumberFormat="1" applyFill="1" applyBorder="1"/>
    <xf numFmtId="8" fontId="31" fillId="41" borderId="7" xfId="0" applyNumberFormat="1" applyFont="1" applyFill="1" applyBorder="1"/>
    <xf numFmtId="0" fontId="0" fillId="41" borderId="22" xfId="0" applyFill="1" applyBorder="1"/>
    <xf numFmtId="8" fontId="0" fillId="41" borderId="23" xfId="0" applyNumberFormat="1" applyFill="1" applyBorder="1"/>
    <xf numFmtId="167" fontId="21" fillId="22" borderId="10" xfId="0" applyNumberFormat="1" applyFont="1" applyFill="1" applyBorder="1" applyProtection="1"/>
    <xf numFmtId="167" fontId="21" fillId="28" borderId="11" xfId="0" applyNumberFormat="1" applyFont="1" applyFill="1" applyBorder="1" applyAlignment="1" applyProtection="1"/>
    <xf numFmtId="167" fontId="21" fillId="29" borderId="60" xfId="0" applyNumberFormat="1" applyFont="1" applyFill="1" applyBorder="1" applyProtection="1"/>
    <xf numFmtId="167" fontId="22" fillId="22" borderId="64" xfId="0" applyNumberFormat="1" applyFont="1" applyFill="1" applyBorder="1" applyProtection="1"/>
    <xf numFmtId="167" fontId="21" fillId="22" borderId="31" xfId="0" applyNumberFormat="1" applyFont="1" applyFill="1" applyBorder="1" applyProtection="1"/>
    <xf numFmtId="167" fontId="21" fillId="28" borderId="23" xfId="0" applyNumberFormat="1" applyFont="1" applyFill="1" applyBorder="1" applyAlignment="1" applyProtection="1"/>
    <xf numFmtId="167" fontId="21" fillId="28" borderId="6" xfId="0" applyNumberFormat="1" applyFont="1" applyFill="1" applyBorder="1" applyAlignment="1" applyProtection="1"/>
    <xf numFmtId="167" fontId="21" fillId="28" borderId="6" xfId="0" applyNumberFormat="1" applyFont="1" applyFill="1" applyBorder="1" applyAlignment="1" applyProtection="1">
      <alignment horizontal="right" vertical="center"/>
    </xf>
    <xf numFmtId="167" fontId="21" fillId="40" borderId="78" xfId="0" applyNumberFormat="1" applyFont="1" applyFill="1" applyBorder="1" applyAlignment="1" applyProtection="1">
      <alignment vertical="center"/>
    </xf>
    <xf numFmtId="167" fontId="21" fillId="40" borderId="68" xfId="0" applyNumberFormat="1" applyFont="1" applyFill="1" applyBorder="1" applyAlignment="1" applyProtection="1">
      <alignment vertical="center"/>
    </xf>
    <xf numFmtId="167" fontId="21" fillId="40" borderId="69" xfId="0" applyNumberFormat="1" applyFont="1" applyFill="1" applyBorder="1" applyAlignment="1" applyProtection="1">
      <alignment vertical="center"/>
    </xf>
    <xf numFmtId="167" fontId="14" fillId="40" borderId="69" xfId="0" applyNumberFormat="1" applyFont="1" applyFill="1" applyBorder="1" applyAlignment="1" applyProtection="1">
      <alignment vertical="center"/>
    </xf>
    <xf numFmtId="167" fontId="14" fillId="40" borderId="13" xfId="0" applyNumberFormat="1" applyFont="1" applyFill="1" applyBorder="1" applyAlignment="1" applyProtection="1">
      <alignment vertical="center"/>
    </xf>
    <xf numFmtId="167" fontId="14" fillId="28" borderId="15" xfId="0" applyNumberFormat="1" applyFont="1" applyFill="1" applyBorder="1" applyAlignment="1" applyProtection="1"/>
    <xf numFmtId="167" fontId="21" fillId="21" borderId="68" xfId="0" applyNumberFormat="1" applyFont="1" applyFill="1" applyBorder="1" applyAlignment="1" applyProtection="1">
      <alignment vertical="center"/>
    </xf>
    <xf numFmtId="167" fontId="21" fillId="32" borderId="78" xfId="0" applyNumberFormat="1" applyFont="1" applyFill="1" applyBorder="1" applyAlignment="1" applyProtection="1">
      <alignment vertical="center"/>
    </xf>
    <xf numFmtId="167" fontId="21" fillId="28" borderId="49" xfId="0" applyNumberFormat="1" applyFont="1" applyFill="1" applyBorder="1" applyAlignment="1" applyProtection="1"/>
    <xf numFmtId="167" fontId="21" fillId="28" borderId="28" xfId="0" applyNumberFormat="1" applyFont="1" applyFill="1" applyBorder="1" applyAlignment="1" applyProtection="1"/>
    <xf numFmtId="167" fontId="21" fillId="32" borderId="69" xfId="0" applyNumberFormat="1" applyFont="1" applyFill="1" applyBorder="1" applyAlignment="1" applyProtection="1">
      <alignment vertical="center"/>
    </xf>
    <xf numFmtId="14" fontId="14" fillId="0" borderId="0" xfId="0" applyNumberFormat="1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/>
    <xf numFmtId="167" fontId="21" fillId="27" borderId="25" xfId="0" applyNumberFormat="1" applyFont="1" applyFill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49" fontId="14" fillId="36" borderId="57" xfId="0" applyNumberFormat="1" applyFont="1" applyFill="1" applyBorder="1" applyAlignment="1">
      <alignment horizontal="center" vertical="center"/>
    </xf>
    <xf numFmtId="167" fontId="21" fillId="36" borderId="37" xfId="0" applyNumberFormat="1" applyFont="1" applyFill="1" applyBorder="1" applyAlignment="1">
      <alignment horizontal="center" vertical="center"/>
    </xf>
    <xf numFmtId="0" fontId="8" fillId="16" borderId="44" xfId="1" applyFont="1" applyFill="1" applyBorder="1" applyAlignment="1" applyProtection="1">
      <alignment horizontal="center" vertical="center"/>
    </xf>
    <xf numFmtId="0" fontId="8" fillId="16" borderId="48" xfId="1" applyFont="1" applyFill="1" applyBorder="1" applyAlignment="1" applyProtection="1">
      <alignment horizontal="left" vertical="center"/>
    </xf>
    <xf numFmtId="0" fontId="8" fillId="16" borderId="56" xfId="1" applyFont="1" applyFill="1" applyBorder="1" applyAlignment="1" applyProtection="1">
      <alignment horizontal="left" vertical="center"/>
    </xf>
    <xf numFmtId="0" fontId="10" fillId="0" borderId="5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169" fontId="21" fillId="0" borderId="19" xfId="0" applyNumberFormat="1" applyFont="1" applyBorder="1" applyAlignment="1">
      <alignment vertical="center"/>
    </xf>
    <xf numFmtId="167" fontId="21" fillId="0" borderId="52" xfId="0" applyNumberFormat="1" applyFont="1" applyBorder="1" applyAlignment="1">
      <alignment horizontal="right" vertical="center"/>
    </xf>
    <xf numFmtId="49" fontId="24" fillId="27" borderId="39" xfId="0" applyNumberFormat="1" applyFont="1" applyFill="1" applyBorder="1" applyAlignment="1">
      <alignment horizontal="center" vertical="center"/>
    </xf>
    <xf numFmtId="0" fontId="21" fillId="27" borderId="3" xfId="0" applyFont="1" applyFill="1" applyBorder="1" applyAlignment="1">
      <alignment horizontal="left" vertical="center"/>
    </xf>
    <xf numFmtId="169" fontId="21" fillId="27" borderId="10" xfId="0" applyNumberFormat="1" applyFont="1" applyFill="1" applyBorder="1" applyAlignment="1">
      <alignment vertical="center"/>
    </xf>
    <xf numFmtId="49" fontId="24" fillId="29" borderId="39" xfId="0" applyNumberFormat="1" applyFont="1" applyFill="1" applyBorder="1" applyAlignment="1" applyProtection="1">
      <alignment horizontal="center" vertical="center"/>
    </xf>
    <xf numFmtId="167" fontId="21" fillId="29" borderId="12" xfId="0" applyNumberFormat="1" applyFont="1" applyFill="1" applyBorder="1" applyAlignment="1" applyProtection="1">
      <alignment horizontal="left" vertical="center"/>
    </xf>
    <xf numFmtId="167" fontId="21" fillId="29" borderId="5" xfId="0" applyNumberFormat="1" applyFont="1" applyFill="1" applyBorder="1" applyAlignment="1" applyProtection="1">
      <alignment vertical="center"/>
    </xf>
    <xf numFmtId="167" fontId="21" fillId="29" borderId="26" xfId="0" applyNumberFormat="1" applyFont="1" applyFill="1" applyBorder="1" applyAlignment="1" applyProtection="1">
      <alignment vertical="center"/>
    </xf>
    <xf numFmtId="49" fontId="24" fillId="22" borderId="39" xfId="0" applyNumberFormat="1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left" vertical="center"/>
    </xf>
    <xf numFmtId="169" fontId="21" fillId="22" borderId="55" xfId="0" applyNumberFormat="1" applyFont="1" applyFill="1" applyBorder="1" applyAlignment="1">
      <alignment vertical="center"/>
    </xf>
    <xf numFmtId="167" fontId="21" fillId="22" borderId="34" xfId="0" applyNumberFormat="1" applyFont="1" applyFill="1" applyBorder="1" applyAlignment="1">
      <alignment horizontal="right" vertical="center"/>
    </xf>
    <xf numFmtId="49" fontId="24" fillId="22" borderId="41" xfId="0" applyNumberFormat="1" applyFont="1" applyFill="1" applyBorder="1" applyAlignment="1">
      <alignment horizontal="center" vertical="center"/>
    </xf>
    <xf numFmtId="0" fontId="14" fillId="22" borderId="53" xfId="0" applyFont="1" applyFill="1" applyBorder="1" applyAlignment="1">
      <alignment horizontal="left" vertical="center"/>
    </xf>
    <xf numFmtId="169" fontId="21" fillId="22" borderId="31" xfId="0" applyNumberFormat="1" applyFont="1" applyFill="1" applyBorder="1" applyAlignment="1">
      <alignment vertical="center"/>
    </xf>
    <xf numFmtId="167" fontId="21" fillId="22" borderId="46" xfId="0" applyNumberFormat="1" applyFont="1" applyFill="1" applyBorder="1" applyAlignment="1">
      <alignment horizontal="right" vertical="center"/>
    </xf>
    <xf numFmtId="3" fontId="26" fillId="14" borderId="79" xfId="0" applyNumberFormat="1" applyFont="1" applyFill="1" applyBorder="1" applyAlignment="1" applyProtection="1">
      <alignment horizontal="center" vertical="center"/>
    </xf>
    <xf numFmtId="3" fontId="3" fillId="14" borderId="80" xfId="0" applyNumberFormat="1" applyFont="1" applyFill="1" applyBorder="1" applyAlignment="1" applyProtection="1">
      <alignment vertical="center"/>
    </xf>
    <xf numFmtId="169" fontId="3" fillId="14" borderId="81" xfId="0" applyNumberFormat="1" applyFont="1" applyFill="1" applyBorder="1" applyAlignment="1" applyProtection="1">
      <alignment vertical="center"/>
    </xf>
    <xf numFmtId="167" fontId="3" fillId="14" borderId="82" xfId="0" applyNumberFormat="1" applyFont="1" applyFill="1" applyBorder="1" applyAlignment="1" applyProtection="1">
      <alignment horizontal="right" vertical="center"/>
    </xf>
    <xf numFmtId="167" fontId="22" fillId="22" borderId="5" xfId="0" applyNumberFormat="1" applyFont="1" applyFill="1" applyBorder="1" applyProtection="1"/>
    <xf numFmtId="0" fontId="5" fillId="0" borderId="33" xfId="0" applyNumberFormat="1" applyFont="1" applyBorder="1" applyAlignment="1" applyProtection="1">
      <alignment horizontal="left"/>
    </xf>
    <xf numFmtId="0" fontId="5" fillId="0" borderId="18" xfId="0" applyNumberFormat="1" applyFont="1" applyBorder="1" applyAlignment="1" applyProtection="1">
      <alignment horizontal="left"/>
    </xf>
    <xf numFmtId="0" fontId="21" fillId="0" borderId="18" xfId="0" applyNumberFormat="1" applyFont="1" applyBorder="1" applyAlignment="1" applyProtection="1">
      <alignment horizontal="left"/>
    </xf>
    <xf numFmtId="0" fontId="21" fillId="0" borderId="33" xfId="0" applyNumberFormat="1" applyFont="1" applyBorder="1" applyAlignment="1" applyProtection="1">
      <alignment horizontal="left"/>
    </xf>
    <xf numFmtId="0" fontId="21" fillId="0" borderId="39" xfId="0" applyNumberFormat="1" applyFont="1" applyBorder="1" applyAlignment="1" applyProtection="1">
      <alignment horizontal="left"/>
    </xf>
    <xf numFmtId="49" fontId="2" fillId="0" borderId="33" xfId="0" quotePrefix="1" applyNumberFormat="1" applyFont="1" applyBorder="1" applyAlignment="1" applyProtection="1">
      <alignment horizontal="left"/>
    </xf>
    <xf numFmtId="49" fontId="2" fillId="0" borderId="39" xfId="0" quotePrefix="1" applyNumberFormat="1" applyFont="1" applyBorder="1" applyAlignment="1" applyProtection="1">
      <alignment horizontal="left"/>
    </xf>
    <xf numFmtId="2" fontId="2" fillId="0" borderId="38" xfId="0" quotePrefix="1" applyNumberFormat="1" applyFont="1" applyFill="1" applyBorder="1" applyAlignment="1" applyProtection="1">
      <alignment horizontal="left"/>
    </xf>
    <xf numFmtId="2" fontId="19" fillId="0" borderId="33" xfId="0" quotePrefix="1" applyNumberFormat="1" applyFont="1" applyBorder="1" applyAlignment="1" applyProtection="1">
      <alignment horizontal="left"/>
    </xf>
    <xf numFmtId="49" fontId="0" fillId="0" borderId="39" xfId="0" quotePrefix="1" applyNumberFormat="1" applyBorder="1" applyAlignment="1" applyProtection="1">
      <alignment horizontal="left"/>
    </xf>
    <xf numFmtId="49" fontId="0" fillId="0" borderId="33" xfId="0" quotePrefix="1" applyNumberFormat="1" applyBorder="1" applyAlignment="1" applyProtection="1">
      <alignment horizontal="left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22" xfId="1" applyFont="1" applyFill="1" applyBorder="1" applyAlignment="1" applyProtection="1">
      <alignment horizontal="left"/>
    </xf>
    <xf numFmtId="167" fontId="21" fillId="30" borderId="14" xfId="0" applyNumberFormat="1" applyFont="1" applyFill="1" applyBorder="1" applyAlignment="1" applyProtection="1">
      <alignment horizontal="center"/>
    </xf>
    <xf numFmtId="167" fontId="21" fillId="30" borderId="15" xfId="0" applyNumberFormat="1" applyFont="1" applyFill="1" applyBorder="1" applyAlignment="1" applyProtection="1">
      <alignment horizontal="center"/>
    </xf>
    <xf numFmtId="167" fontId="21" fillId="30" borderId="35" xfId="0" applyNumberFormat="1" applyFont="1" applyFill="1" applyBorder="1" applyAlignment="1" applyProtection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7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30" fillId="0" borderId="58" xfId="0" applyNumberFormat="1" applyFont="1" applyBorder="1" applyAlignment="1">
      <alignment horizontal="center" vertical="center" wrapText="1"/>
    </xf>
    <xf numFmtId="49" fontId="30" fillId="0" borderId="54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left"/>
    </xf>
    <xf numFmtId="0" fontId="14" fillId="39" borderId="74" xfId="0" applyFont="1" applyFill="1" applyBorder="1" applyAlignment="1">
      <alignment horizontal="right"/>
    </xf>
    <xf numFmtId="0" fontId="14" fillId="39" borderId="75" xfId="0" applyFont="1" applyFill="1" applyBorder="1" applyAlignment="1">
      <alignment horizontal="right"/>
    </xf>
    <xf numFmtId="4" fontId="29" fillId="0" borderId="45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right" vertical="center"/>
    </xf>
    <xf numFmtId="3" fontId="3" fillId="14" borderId="14" xfId="0" applyNumberFormat="1" applyFont="1" applyFill="1" applyBorder="1" applyAlignment="1" applyProtection="1">
      <alignment horizontal="right" vertical="center"/>
    </xf>
    <xf numFmtId="3" fontId="3" fillId="14" borderId="35" xfId="0" applyNumberFormat="1" applyFont="1" applyFill="1" applyBorder="1" applyAlignment="1" applyProtection="1">
      <alignment horizontal="right" vertical="center"/>
    </xf>
    <xf numFmtId="0" fontId="14" fillId="10" borderId="20" xfId="0" applyFont="1" applyFill="1" applyBorder="1" applyAlignment="1" applyProtection="1">
      <alignment horizontal="center" vertical="center"/>
    </xf>
    <xf numFmtId="0" fontId="14" fillId="10" borderId="19" xfId="0" applyFont="1" applyFill="1" applyBorder="1" applyAlignment="1" applyProtection="1">
      <alignment horizontal="center" vertical="center"/>
    </xf>
    <xf numFmtId="0" fontId="14" fillId="10" borderId="21" xfId="0" applyFont="1" applyFill="1" applyBorder="1" applyAlignment="1" applyProtection="1">
      <alignment horizontal="center" vertical="center"/>
    </xf>
    <xf numFmtId="0" fontId="1" fillId="5" borderId="44" xfId="0" applyFont="1" applyFill="1" applyBorder="1" applyAlignment="1" applyProtection="1">
      <alignment vertical="center" wrapText="1"/>
    </xf>
    <xf numFmtId="0" fontId="1" fillId="5" borderId="48" xfId="0" applyFont="1" applyFill="1" applyBorder="1" applyAlignment="1" applyProtection="1">
      <alignment vertical="center" wrapText="1"/>
    </xf>
    <xf numFmtId="0" fontId="1" fillId="5" borderId="39" xfId="0" applyFont="1" applyFill="1" applyBorder="1" applyAlignment="1" applyProtection="1">
      <alignment vertical="center" wrapText="1"/>
    </xf>
    <xf numFmtId="0" fontId="1" fillId="5" borderId="26" xfId="0" applyFont="1" applyFill="1" applyBorder="1" applyAlignment="1" applyProtection="1">
      <alignment vertical="center" wrapText="1"/>
    </xf>
    <xf numFmtId="0" fontId="2" fillId="0" borderId="33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5" fillId="22" borderId="33" xfId="0" applyFont="1" applyFill="1" applyBorder="1" applyAlignment="1" applyProtection="1">
      <alignment horizontal="left" vertical="center" wrapText="1" shrinkToFit="1"/>
    </xf>
    <xf numFmtId="0" fontId="5" fillId="22" borderId="25" xfId="0" applyFont="1" applyFill="1" applyBorder="1" applyAlignment="1" applyProtection="1">
      <alignment horizontal="left" vertical="center" wrapText="1" shrinkToFit="1"/>
    </xf>
    <xf numFmtId="0" fontId="33" fillId="35" borderId="33" xfId="0" applyFont="1" applyFill="1" applyBorder="1" applyAlignment="1" applyProtection="1">
      <alignment horizontal="left" vertical="center"/>
    </xf>
    <xf numFmtId="0" fontId="33" fillId="35" borderId="25" xfId="0" applyFont="1" applyFill="1" applyBorder="1" applyAlignment="1" applyProtection="1">
      <alignment horizontal="left" vertical="center"/>
    </xf>
    <xf numFmtId="0" fontId="5" fillId="22" borderId="41" xfId="0" applyFont="1" applyFill="1" applyBorder="1" applyAlignment="1" applyProtection="1">
      <alignment horizontal="left" vertical="center" wrapText="1" shrinkToFit="1"/>
    </xf>
    <xf numFmtId="0" fontId="5" fillId="22" borderId="46" xfId="0" applyFont="1" applyFill="1" applyBorder="1" applyAlignment="1" applyProtection="1">
      <alignment horizontal="left" vertical="center" wrapText="1" shrinkToFit="1"/>
    </xf>
    <xf numFmtId="0" fontId="21" fillId="27" borderId="3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4" fillId="36" borderId="59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21" fillId="27" borderId="22" xfId="0" applyFont="1" applyFill="1" applyBorder="1" applyAlignment="1">
      <alignment horizontal="left" vertical="center"/>
    </xf>
    <xf numFmtId="0" fontId="21" fillId="27" borderId="23" xfId="0" applyFont="1" applyFill="1" applyBorder="1" applyAlignment="1">
      <alignment horizontal="left" vertical="center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33" xfId="0" applyFont="1" applyFill="1" applyBorder="1" applyAlignment="1">
      <alignment horizontal="left" vertical="center"/>
    </xf>
    <xf numFmtId="0" fontId="21" fillId="27" borderId="25" xfId="0" applyFont="1" applyFill="1" applyBorder="1" applyAlignment="1">
      <alignment horizontal="left" vertical="center"/>
    </xf>
    <xf numFmtId="167" fontId="21" fillId="27" borderId="34" xfId="0" applyNumberFormat="1" applyFont="1" applyFill="1" applyBorder="1" applyAlignment="1">
      <alignment horizontal="center" vertical="center" wrapText="1"/>
    </xf>
    <xf numFmtId="167" fontId="21" fillId="27" borderId="26" xfId="0" applyNumberFormat="1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left" vertical="center" wrapText="1"/>
    </xf>
    <xf numFmtId="0" fontId="21" fillId="27" borderId="34" xfId="0" applyFont="1" applyFill="1" applyBorder="1" applyAlignment="1">
      <alignment horizontal="left" vertical="center" wrapText="1"/>
    </xf>
    <xf numFmtId="0" fontId="21" fillId="27" borderId="39" xfId="0" applyFont="1" applyFill="1" applyBorder="1" applyAlignment="1">
      <alignment horizontal="left" vertical="center" wrapText="1"/>
    </xf>
    <xf numFmtId="0" fontId="21" fillId="27" borderId="26" xfId="0" applyFont="1" applyFill="1" applyBorder="1" applyAlignment="1">
      <alignment horizontal="left" vertical="center" wrapText="1"/>
    </xf>
    <xf numFmtId="1" fontId="13" fillId="5" borderId="48" xfId="0" applyNumberFormat="1" applyFont="1" applyFill="1" applyBorder="1" applyAlignment="1" applyProtection="1">
      <alignment horizontal="left" vertical="center" wrapText="1"/>
    </xf>
    <xf numFmtId="1" fontId="13" fillId="5" borderId="17" xfId="0" applyNumberFormat="1" applyFont="1" applyFill="1" applyBorder="1" applyAlignment="1" applyProtection="1">
      <alignment horizontal="left" vertical="center" wrapText="1"/>
    </xf>
    <xf numFmtId="0" fontId="13" fillId="5" borderId="44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right" vertical="center" wrapText="1"/>
    </xf>
    <xf numFmtId="0" fontId="13" fillId="5" borderId="38" xfId="0" applyFont="1" applyFill="1" applyBorder="1" applyAlignment="1" applyProtection="1">
      <alignment horizontal="right" vertical="center" wrapText="1"/>
    </xf>
    <xf numFmtId="0" fontId="25" fillId="36" borderId="59" xfId="0" applyFont="1" applyFill="1" applyBorder="1" applyAlignment="1">
      <alignment horizontal="left" vertical="center"/>
    </xf>
    <xf numFmtId="0" fontId="25" fillId="36" borderId="16" xfId="0" applyFont="1" applyFill="1" applyBorder="1" applyAlignment="1">
      <alignment horizontal="left" vertical="center"/>
    </xf>
    <xf numFmtId="167" fontId="21" fillId="27" borderId="17" xfId="0" applyNumberFormat="1" applyFont="1" applyFill="1" applyBorder="1" applyAlignment="1">
      <alignment horizontal="center" vertical="center" wrapText="1"/>
    </xf>
    <xf numFmtId="0" fontId="21" fillId="27" borderId="56" xfId="0" applyFont="1" applyFill="1" applyBorder="1" applyAlignment="1">
      <alignment horizontal="center" vertical="center" wrapText="1"/>
    </xf>
    <xf numFmtId="0" fontId="21" fillId="27" borderId="44" xfId="0" applyFont="1" applyFill="1" applyBorder="1" applyAlignment="1">
      <alignment horizontal="left" vertical="center" wrapText="1"/>
    </xf>
    <xf numFmtId="0" fontId="21" fillId="27" borderId="48" xfId="0" applyFont="1" applyFill="1" applyBorder="1" applyAlignment="1">
      <alignment horizontal="left" vertical="center" wrapText="1"/>
    </xf>
    <xf numFmtId="167" fontId="21" fillId="27" borderId="71" xfId="0" applyNumberFormat="1" applyFont="1" applyFill="1" applyBorder="1" applyAlignment="1">
      <alignment horizontal="center" vertical="center"/>
    </xf>
    <xf numFmtId="167" fontId="21" fillId="27" borderId="70" xfId="0" applyNumberFormat="1" applyFont="1" applyFill="1" applyBorder="1" applyAlignment="1">
      <alignment horizontal="center" vertical="center"/>
    </xf>
    <xf numFmtId="0" fontId="21" fillId="27" borderId="71" xfId="0" applyFont="1" applyFill="1" applyBorder="1" applyAlignment="1">
      <alignment horizontal="center" vertical="center"/>
    </xf>
    <xf numFmtId="0" fontId="21" fillId="27" borderId="70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left" vertical="center" wrapText="1"/>
    </xf>
    <xf numFmtId="0" fontId="24" fillId="14" borderId="59" xfId="0" applyFont="1" applyFill="1" applyBorder="1" applyAlignment="1">
      <alignment horizontal="right"/>
    </xf>
    <xf numFmtId="0" fontId="24" fillId="14" borderId="67" xfId="0" applyFont="1" applyFill="1" applyBorder="1" applyAlignment="1">
      <alignment horizontal="right"/>
    </xf>
    <xf numFmtId="0" fontId="25" fillId="6" borderId="59" xfId="0" applyFont="1" applyFill="1" applyBorder="1" applyAlignment="1">
      <alignment horizontal="left"/>
    </xf>
    <xf numFmtId="0" fontId="25" fillId="6" borderId="67" xfId="0" applyFont="1" applyFill="1" applyBorder="1" applyAlignment="1">
      <alignment horizontal="left"/>
    </xf>
    <xf numFmtId="0" fontId="25" fillId="6" borderId="16" xfId="0" applyFont="1" applyFill="1" applyBorder="1" applyAlignment="1">
      <alignment horizontal="left"/>
    </xf>
    <xf numFmtId="0" fontId="38" fillId="0" borderId="47" xfId="0" applyFont="1" applyBorder="1"/>
    <xf numFmtId="0" fontId="38" fillId="0" borderId="10" xfId="0" applyFont="1" applyBorder="1"/>
    <xf numFmtId="0" fontId="38" fillId="0" borderId="4" xfId="0" applyFont="1" applyBorder="1"/>
    <xf numFmtId="0" fontId="38" fillId="0" borderId="5" xfId="0" applyFont="1" applyBorder="1"/>
    <xf numFmtId="167" fontId="24" fillId="14" borderId="67" xfId="0" applyNumberFormat="1" applyFont="1" applyFill="1" applyBorder="1" applyAlignment="1">
      <alignment horizontal="center"/>
    </xf>
    <xf numFmtId="167" fontId="24" fillId="14" borderId="16" xfId="0" applyNumberFormat="1" applyFont="1" applyFill="1" applyBorder="1" applyAlignment="1">
      <alignment horizontal="center"/>
    </xf>
    <xf numFmtId="167" fontId="21" fillId="0" borderId="10" xfId="0" quotePrefix="1" applyNumberFormat="1" applyFont="1" applyBorder="1" applyAlignment="1">
      <alignment horizontal="center"/>
    </xf>
    <xf numFmtId="167" fontId="21" fillId="0" borderId="11" xfId="0" applyNumberFormat="1" applyFont="1" applyBorder="1" applyAlignment="1">
      <alignment horizontal="center"/>
    </xf>
    <xf numFmtId="167" fontId="21" fillId="0" borderId="5" xfId="0" quotePrefix="1" applyNumberFormat="1" applyFont="1" applyBorder="1" applyAlignment="1">
      <alignment horizontal="center"/>
    </xf>
    <xf numFmtId="167" fontId="21" fillId="0" borderId="7" xfId="0" applyNumberFormat="1" applyFont="1" applyBorder="1" applyAlignment="1">
      <alignment horizontal="center"/>
    </xf>
    <xf numFmtId="167" fontId="21" fillId="0" borderId="24" xfId="0" applyNumberFormat="1" applyFont="1" applyBorder="1" applyAlignment="1">
      <alignment horizontal="center"/>
    </xf>
    <xf numFmtId="167" fontId="21" fillId="0" borderId="29" xfId="0" applyNumberFormat="1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0" fontId="21" fillId="0" borderId="27" xfId="0" applyFont="1" applyBorder="1"/>
    <xf numFmtId="0" fontId="21" fillId="0" borderId="24" xfId="0" applyFont="1" applyBorder="1"/>
    <xf numFmtId="0" fontId="25" fillId="6" borderId="59" xfId="0" applyFont="1" applyFill="1" applyBorder="1"/>
    <xf numFmtId="0" fontId="25" fillId="6" borderId="67" xfId="0" applyFont="1" applyFill="1" applyBorder="1"/>
    <xf numFmtId="0" fontId="25" fillId="6" borderId="16" xfId="0" applyFont="1" applyFill="1" applyBorder="1"/>
    <xf numFmtId="0" fontId="25" fillId="6" borderId="14" xfId="0" applyFont="1" applyFill="1" applyBorder="1" applyAlignment="1">
      <alignment horizontal="left"/>
    </xf>
    <xf numFmtId="0" fontId="25" fillId="6" borderId="15" xfId="0" applyFont="1" applyFill="1" applyBorder="1" applyAlignment="1">
      <alignment horizontal="left"/>
    </xf>
    <xf numFmtId="0" fontId="25" fillId="6" borderId="35" xfId="0" applyFont="1" applyFill="1" applyBorder="1" applyAlignment="1">
      <alignment horizontal="left"/>
    </xf>
    <xf numFmtId="0" fontId="13" fillId="5" borderId="45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right" vertical="center" wrapText="1"/>
    </xf>
    <xf numFmtId="1" fontId="13" fillId="5" borderId="45" xfId="0" applyNumberFormat="1" applyFont="1" applyFill="1" applyBorder="1" applyAlignment="1" applyProtection="1">
      <alignment horizontal="left" vertical="center" wrapText="1"/>
    </xf>
    <xf numFmtId="1" fontId="13" fillId="5" borderId="40" xfId="0" applyNumberFormat="1" applyFont="1" applyFill="1" applyBorder="1" applyAlignment="1" applyProtection="1">
      <alignment horizontal="left" vertical="center" wrapText="1"/>
    </xf>
    <xf numFmtId="49" fontId="39" fillId="35" borderId="44" xfId="0" applyNumberFormat="1" applyFont="1" applyFill="1" applyBorder="1" applyAlignment="1">
      <alignment horizontal="center"/>
    </xf>
    <xf numFmtId="49" fontId="39" fillId="35" borderId="45" xfId="0" applyNumberFormat="1" applyFont="1" applyFill="1" applyBorder="1" applyAlignment="1">
      <alignment horizontal="center"/>
    </xf>
    <xf numFmtId="49" fontId="39" fillId="35" borderId="48" xfId="0" applyNumberFormat="1" applyFont="1" applyFill="1" applyBorder="1" applyAlignment="1">
      <alignment horizontal="center"/>
    </xf>
    <xf numFmtId="0" fontId="10" fillId="10" borderId="44" xfId="0" applyFont="1" applyFill="1" applyBorder="1" applyAlignment="1">
      <alignment horizontal="left"/>
    </xf>
    <xf numFmtId="0" fontId="10" fillId="10" borderId="45" xfId="0" applyFont="1" applyFill="1" applyBorder="1" applyAlignment="1">
      <alignment horizontal="left"/>
    </xf>
    <xf numFmtId="0" fontId="10" fillId="10" borderId="48" xfId="0" applyFont="1" applyFill="1" applyBorder="1" applyAlignment="1">
      <alignment horizontal="left"/>
    </xf>
    <xf numFmtId="0" fontId="10" fillId="10" borderId="44" xfId="0" applyFont="1" applyFill="1" applyBorder="1" applyAlignment="1">
      <alignment horizontal="center"/>
    </xf>
    <xf numFmtId="0" fontId="10" fillId="10" borderId="48" xfId="0" applyFont="1" applyFill="1" applyBorder="1" applyAlignment="1">
      <alignment horizontal="center"/>
    </xf>
    <xf numFmtId="49" fontId="37" fillId="35" borderId="0" xfId="0" applyNumberFormat="1" applyFont="1" applyFill="1" applyBorder="1" applyAlignment="1">
      <alignment horizontal="center" wrapText="1"/>
    </xf>
    <xf numFmtId="49" fontId="37" fillId="35" borderId="17" xfId="0" applyNumberFormat="1" applyFont="1" applyFill="1" applyBorder="1" applyAlignment="1">
      <alignment horizontal="center" wrapText="1"/>
    </xf>
    <xf numFmtId="49" fontId="37" fillId="35" borderId="40" xfId="0" applyNumberFormat="1" applyFont="1" applyFill="1" applyBorder="1" applyAlignment="1">
      <alignment horizontal="center" wrapText="1"/>
    </xf>
    <xf numFmtId="49" fontId="37" fillId="35" borderId="37" xfId="0" applyNumberFormat="1" applyFont="1" applyFill="1" applyBorder="1" applyAlignment="1">
      <alignment horizontal="center" wrapText="1"/>
    </xf>
    <xf numFmtId="165" fontId="5" fillId="9" borderId="14" xfId="0" applyNumberFormat="1" applyFont="1" applyFill="1" applyBorder="1" applyAlignment="1" applyProtection="1">
      <alignment horizontal="center"/>
    </xf>
    <xf numFmtId="165" fontId="5" fillId="9" borderId="15" xfId="0" applyNumberFormat="1" applyFont="1" applyFill="1" applyBorder="1" applyAlignment="1" applyProtection="1">
      <alignment horizontal="center"/>
    </xf>
    <xf numFmtId="165" fontId="5" fillId="9" borderId="35" xfId="0" applyNumberFormat="1" applyFont="1" applyFill="1" applyBorder="1" applyAlignment="1" applyProtection="1">
      <alignment horizont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165" fontId="2" fillId="9" borderId="0" xfId="0" applyNumberFormat="1" applyFont="1" applyFill="1" applyBorder="1" applyAlignment="1" applyProtection="1">
      <alignment horizontal="center"/>
    </xf>
    <xf numFmtId="165" fontId="2" fillId="9" borderId="17" xfId="0" applyNumberFormat="1" applyFont="1" applyFill="1" applyBorder="1" applyAlignment="1" applyProtection="1">
      <alignment horizontal="center"/>
    </xf>
    <xf numFmtId="165" fontId="2" fillId="9" borderId="38" xfId="0" applyNumberFormat="1" applyFont="1" applyFill="1" applyBorder="1" applyAlignment="1" applyProtection="1">
      <alignment horizontal="center"/>
    </xf>
    <xf numFmtId="0" fontId="6" fillId="0" borderId="36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right"/>
    </xf>
    <xf numFmtId="0" fontId="6" fillId="0" borderId="37" xfId="0" applyFont="1" applyBorder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center" vertical="center" shrinkToFit="1"/>
    </xf>
    <xf numFmtId="0" fontId="0" fillId="0" borderId="15" xfId="0" applyBorder="1" applyAlignment="1">
      <alignment vertical="center"/>
    </xf>
    <xf numFmtId="3" fontId="6" fillId="0" borderId="65" xfId="0" applyNumberFormat="1" applyFont="1" applyBorder="1" applyAlignment="1" applyProtection="1">
      <alignment horizontal="right"/>
    </xf>
    <xf numFmtId="3" fontId="6" fillId="0" borderId="35" xfId="0" applyNumberFormat="1" applyFont="1" applyBorder="1" applyAlignment="1" applyProtection="1">
      <alignment horizontal="right"/>
    </xf>
    <xf numFmtId="3" fontId="6" fillId="0" borderId="15" xfId="0" applyNumberFormat="1" applyFont="1" applyBorder="1" applyAlignment="1" applyProtection="1">
      <alignment horizontal="right"/>
    </xf>
    <xf numFmtId="3" fontId="6" fillId="0" borderId="66" xfId="0" applyNumberFormat="1" applyFont="1" applyBorder="1" applyAlignment="1" applyProtection="1">
      <alignment horizontal="right"/>
    </xf>
    <xf numFmtId="0" fontId="2" fillId="0" borderId="60" xfId="0" applyFont="1" applyBorder="1" applyAlignment="1" applyProtection="1">
      <alignment horizontal="right"/>
    </xf>
    <xf numFmtId="0" fontId="2" fillId="0" borderId="64" xfId="0" applyFont="1" applyBorder="1" applyAlignment="1" applyProtection="1">
      <alignment horizontal="right"/>
    </xf>
    <xf numFmtId="0" fontId="2" fillId="0" borderId="62" xfId="0" applyFont="1" applyBorder="1" applyAlignment="1" applyProtection="1">
      <alignment horizontal="right"/>
    </xf>
    <xf numFmtId="0" fontId="19" fillId="0" borderId="8" xfId="0" applyFont="1" applyBorder="1" applyAlignment="1" applyProtection="1">
      <alignment horizontal="left"/>
    </xf>
    <xf numFmtId="0" fontId="19" fillId="0" borderId="26" xfId="0" applyFont="1" applyBorder="1" applyAlignment="1" applyProtection="1">
      <alignment horizontal="left"/>
    </xf>
    <xf numFmtId="0" fontId="19" fillId="0" borderId="2" xfId="0" applyFont="1" applyBorder="1" applyAlignment="1" applyProtection="1"/>
    <xf numFmtId="0" fontId="19" fillId="0" borderId="25" xfId="0" applyFont="1" applyBorder="1" applyAlignment="1" applyProtection="1"/>
    <xf numFmtId="3" fontId="3" fillId="14" borderId="14" xfId="0" applyNumberFormat="1" applyFont="1" applyFill="1" applyBorder="1" applyAlignment="1" applyProtection="1">
      <alignment horizontal="right"/>
    </xf>
    <xf numFmtId="3" fontId="3" fillId="14" borderId="15" xfId="0" applyNumberFormat="1" applyFont="1" applyFill="1" applyBorder="1" applyAlignment="1" applyProtection="1">
      <alignment horizontal="right"/>
    </xf>
    <xf numFmtId="3" fontId="3" fillId="14" borderId="35" xfId="0" applyNumberFormat="1" applyFont="1" applyFill="1" applyBorder="1" applyAlignment="1" applyProtection="1">
      <alignment horizontal="right"/>
    </xf>
    <xf numFmtId="3" fontId="2" fillId="7" borderId="38" xfId="0" applyNumberFormat="1" applyFont="1" applyFill="1" applyBorder="1" applyAlignment="1" applyProtection="1">
      <alignment horizontal="right"/>
    </xf>
    <xf numFmtId="3" fontId="2" fillId="7" borderId="0" xfId="0" applyNumberFormat="1" applyFont="1" applyFill="1" applyBorder="1" applyAlignment="1" applyProtection="1">
      <alignment horizontal="right"/>
    </xf>
    <xf numFmtId="3" fontId="2" fillId="7" borderId="17" xfId="0" applyNumberFormat="1" applyFont="1" applyFill="1" applyBorder="1" applyAlignment="1" applyProtection="1">
      <alignment horizontal="right"/>
    </xf>
    <xf numFmtId="3" fontId="2" fillId="7" borderId="18" xfId="0" applyNumberFormat="1" applyFont="1" applyFill="1" applyBorder="1" applyAlignment="1" applyProtection="1">
      <alignment horizontal="right"/>
    </xf>
    <xf numFmtId="3" fontId="2" fillId="7" borderId="1" xfId="0" applyNumberFormat="1" applyFont="1" applyFill="1" applyBorder="1" applyAlignment="1" applyProtection="1">
      <alignment horizontal="right"/>
    </xf>
    <xf numFmtId="3" fontId="2" fillId="7" borderId="34" xfId="0" applyNumberFormat="1" applyFont="1" applyFill="1" applyBorder="1" applyAlignment="1" applyProtection="1">
      <alignment horizontal="right"/>
    </xf>
    <xf numFmtId="0" fontId="5" fillId="0" borderId="8" xfId="0" applyFont="1" applyBorder="1" applyAlignment="1" applyProtection="1"/>
    <xf numFmtId="0" fontId="5" fillId="0" borderId="26" xfId="0" applyFont="1" applyBorder="1" applyAlignment="1" applyProtection="1"/>
    <xf numFmtId="0" fontId="5" fillId="0" borderId="2" xfId="0" applyFont="1" applyBorder="1" applyAlignment="1" applyProtection="1"/>
    <xf numFmtId="0" fontId="5" fillId="0" borderId="25" xfId="0" applyFont="1" applyBorder="1" applyAlignment="1" applyProtection="1"/>
    <xf numFmtId="0" fontId="3" fillId="6" borderId="14" xfId="0" applyFont="1" applyFill="1" applyBorder="1" applyAlignment="1" applyProtection="1">
      <alignment horizontal="left"/>
    </xf>
    <xf numFmtId="0" fontId="3" fillId="6" borderId="15" xfId="0" applyFont="1" applyFill="1" applyBorder="1" applyAlignment="1" applyProtection="1">
      <alignment horizontal="left"/>
    </xf>
    <xf numFmtId="0" fontId="3" fillId="6" borderId="4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3" fillId="6" borderId="17" xfId="0" applyFont="1" applyFill="1" applyBorder="1" applyAlignment="1" applyProtection="1">
      <alignment horizontal="left"/>
    </xf>
    <xf numFmtId="0" fontId="21" fillId="9" borderId="36" xfId="0" applyFont="1" applyFill="1" applyBorder="1" applyAlignment="1" applyProtection="1">
      <alignment horizontal="center"/>
    </xf>
    <xf numFmtId="0" fontId="21" fillId="9" borderId="37" xfId="0" applyFont="1" applyFill="1" applyBorder="1" applyAlignment="1" applyProtection="1">
      <alignment horizontal="center"/>
    </xf>
    <xf numFmtId="167" fontId="2" fillId="21" borderId="38" xfId="0" applyNumberFormat="1" applyFont="1" applyFill="1" applyBorder="1" applyAlignment="1" applyProtection="1">
      <alignment horizontal="center"/>
    </xf>
    <xf numFmtId="167" fontId="2" fillId="21" borderId="0" xfId="0" applyNumberFormat="1" applyFont="1" applyFill="1" applyBorder="1" applyAlignment="1" applyProtection="1">
      <alignment horizontal="center"/>
    </xf>
    <xf numFmtId="167" fontId="2" fillId="21" borderId="17" xfId="0" applyNumberFormat="1" applyFont="1" applyFill="1" applyBorder="1" applyAlignment="1" applyProtection="1">
      <alignment horizontal="center"/>
    </xf>
    <xf numFmtId="167" fontId="2" fillId="21" borderId="39" xfId="0" applyNumberFormat="1" applyFont="1" applyFill="1" applyBorder="1" applyAlignment="1" applyProtection="1">
      <alignment horizontal="center"/>
    </xf>
    <xf numFmtId="167" fontId="2" fillId="21" borderId="8" xfId="0" applyNumberFormat="1" applyFont="1" applyFill="1" applyBorder="1" applyAlignment="1" applyProtection="1">
      <alignment horizontal="center"/>
    </xf>
    <xf numFmtId="167" fontId="2" fillId="21" borderId="26" xfId="0" applyNumberFormat="1" applyFont="1" applyFill="1" applyBorder="1" applyAlignment="1" applyProtection="1">
      <alignment horizontal="center"/>
    </xf>
    <xf numFmtId="167" fontId="41" fillId="24" borderId="44" xfId="0" applyNumberFormat="1" applyFont="1" applyFill="1" applyBorder="1" applyAlignment="1" applyProtection="1">
      <alignment horizontal="center" vertical="center" wrapText="1"/>
    </xf>
    <xf numFmtId="167" fontId="41" fillId="24" borderId="45" xfId="0" applyNumberFormat="1" applyFont="1" applyFill="1" applyBorder="1" applyAlignment="1" applyProtection="1">
      <alignment horizontal="center" vertical="center" wrapText="1"/>
    </xf>
    <xf numFmtId="167" fontId="41" fillId="24" borderId="48" xfId="0" applyNumberFormat="1" applyFont="1" applyFill="1" applyBorder="1" applyAlignment="1" applyProtection="1">
      <alignment horizontal="center" vertical="center" wrapText="1"/>
    </xf>
    <xf numFmtId="167" fontId="41" fillId="24" borderId="38" xfId="0" applyNumberFormat="1" applyFont="1" applyFill="1" applyBorder="1" applyAlignment="1" applyProtection="1">
      <alignment horizontal="center" vertical="center" wrapText="1"/>
    </xf>
    <xf numFmtId="167" fontId="41" fillId="24" borderId="0" xfId="0" applyNumberFormat="1" applyFont="1" applyFill="1" applyBorder="1" applyAlignment="1" applyProtection="1">
      <alignment horizontal="center" vertical="center" wrapText="1"/>
    </xf>
    <xf numFmtId="167" fontId="41" fillId="24" borderId="17" xfId="0" applyNumberFormat="1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left"/>
    </xf>
    <xf numFmtId="0" fontId="3" fillId="6" borderId="48" xfId="0" applyFont="1" applyFill="1" applyBorder="1" applyAlignment="1" applyProtection="1">
      <alignment horizontal="left"/>
    </xf>
    <xf numFmtId="0" fontId="21" fillId="9" borderId="44" xfId="0" applyFont="1" applyFill="1" applyBorder="1" applyAlignment="1" applyProtection="1">
      <alignment horizontal="center"/>
    </xf>
    <xf numFmtId="0" fontId="21" fillId="9" borderId="45" xfId="0" applyFont="1" applyFill="1" applyBorder="1" applyAlignment="1" applyProtection="1">
      <alignment horizontal="center"/>
    </xf>
    <xf numFmtId="0" fontId="21" fillId="9" borderId="48" xfId="0" applyFont="1" applyFill="1" applyBorder="1" applyAlignment="1" applyProtection="1">
      <alignment horizontal="center"/>
    </xf>
    <xf numFmtId="0" fontId="21" fillId="9" borderId="38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center"/>
    </xf>
    <xf numFmtId="0" fontId="21" fillId="9" borderId="17" xfId="0" applyFont="1" applyFill="1" applyBorder="1" applyAlignment="1" applyProtection="1">
      <alignment horizontal="center"/>
    </xf>
    <xf numFmtId="0" fontId="21" fillId="9" borderId="40" xfId="0" applyFont="1" applyFill="1" applyBorder="1" applyAlignment="1" applyProtection="1">
      <alignment horizontal="center"/>
    </xf>
    <xf numFmtId="0" fontId="18" fillId="29" borderId="48" xfId="0" applyFont="1" applyFill="1" applyBorder="1" applyAlignment="1" applyProtection="1">
      <alignment horizontal="center" vertical="center" wrapText="1"/>
    </xf>
    <xf numFmtId="0" fontId="18" fillId="29" borderId="17" xfId="0" applyFont="1" applyFill="1" applyBorder="1" applyAlignment="1" applyProtection="1">
      <alignment horizontal="center" vertical="center" wrapText="1"/>
    </xf>
    <xf numFmtId="49" fontId="18" fillId="22" borderId="48" xfId="0" applyNumberFormat="1" applyFont="1" applyFill="1" applyBorder="1" applyAlignment="1" applyProtection="1">
      <alignment horizontal="center" vertical="center" wrapText="1"/>
    </xf>
    <xf numFmtId="49" fontId="18" fillId="22" borderId="17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67" fontId="5" fillId="21" borderId="47" xfId="0" applyNumberFormat="1" applyFont="1" applyFill="1" applyBorder="1" applyAlignment="1" applyProtection="1">
      <alignment horizontal="center"/>
    </xf>
    <xf numFmtId="167" fontId="5" fillId="21" borderId="42" xfId="0" applyNumberFormat="1" applyFont="1" applyFill="1" applyBorder="1" applyAlignment="1" applyProtection="1">
      <alignment horizontal="center"/>
    </xf>
    <xf numFmtId="167" fontId="5" fillId="21" borderId="27" xfId="0" applyNumberFormat="1" applyFont="1" applyFill="1" applyBorder="1" applyAlignment="1" applyProtection="1">
      <alignment horizontal="center"/>
    </xf>
    <xf numFmtId="0" fontId="2" fillId="9" borderId="8" xfId="0" applyFont="1" applyFill="1" applyBorder="1" applyAlignment="1" applyProtection="1"/>
    <xf numFmtId="0" fontId="14" fillId="10" borderId="50" xfId="0" applyFont="1" applyFill="1" applyBorder="1" applyAlignment="1" applyProtection="1">
      <alignment horizontal="center" vertical="center"/>
    </xf>
    <xf numFmtId="0" fontId="14" fillId="10" borderId="51" xfId="0" applyFont="1" applyFill="1" applyBorder="1" applyAlignment="1" applyProtection="1">
      <alignment horizontal="center" vertical="center"/>
    </xf>
    <xf numFmtId="0" fontId="14" fillId="10" borderId="5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0" fontId="2" fillId="0" borderId="25" xfId="0" applyFont="1" applyBorder="1" applyAlignment="1" applyProtection="1"/>
    <xf numFmtId="0" fontId="2" fillId="0" borderId="8" xfId="0" applyFont="1" applyBorder="1" applyAlignment="1" applyProtection="1"/>
    <xf numFmtId="0" fontId="2" fillId="0" borderId="26" xfId="0" applyFont="1" applyBorder="1" applyAlignment="1" applyProtection="1"/>
    <xf numFmtId="0" fontId="18" fillId="0" borderId="2" xfId="0" applyFont="1" applyBorder="1" applyAlignment="1" applyProtection="1">
      <alignment horizontal="left"/>
    </xf>
    <xf numFmtId="0" fontId="18" fillId="0" borderId="25" xfId="0" applyFont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18" fillId="0" borderId="25" xfId="0" applyFont="1" applyFill="1" applyBorder="1" applyAlignment="1" applyProtection="1">
      <alignment horizontal="left"/>
    </xf>
    <xf numFmtId="0" fontId="18" fillId="28" borderId="56" xfId="0" applyFont="1" applyFill="1" applyBorder="1" applyAlignment="1" applyProtection="1">
      <alignment horizontal="center" vertical="center" wrapText="1"/>
    </xf>
    <xf numFmtId="0" fontId="18" fillId="28" borderId="7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3" fillId="2" borderId="35" xfId="0" applyFont="1" applyFill="1" applyBorder="1" applyAlignment="1" applyProtection="1"/>
    <xf numFmtId="3" fontId="6" fillId="6" borderId="14" xfId="0" applyNumberFormat="1" applyFont="1" applyFill="1" applyBorder="1" applyAlignment="1" applyProtection="1"/>
    <xf numFmtId="3" fontId="6" fillId="6" borderId="15" xfId="0" applyNumberFormat="1" applyFont="1" applyFill="1" applyBorder="1" applyAlignment="1" applyProtection="1"/>
    <xf numFmtId="3" fontId="6" fillId="6" borderId="45" xfId="0" applyNumberFormat="1" applyFont="1" applyFill="1" applyBorder="1" applyAlignment="1" applyProtection="1"/>
    <xf numFmtId="3" fontId="6" fillId="6" borderId="48" xfId="0" applyNumberFormat="1" applyFont="1" applyFill="1" applyBorder="1" applyAlignment="1" applyProtection="1"/>
    <xf numFmtId="0" fontId="3" fillId="6" borderId="37" xfId="0" applyFont="1" applyFill="1" applyBorder="1" applyAlignment="1" applyProtection="1">
      <alignment horizontal="left"/>
    </xf>
    <xf numFmtId="3" fontId="6" fillId="6" borderId="14" xfId="0" applyNumberFormat="1" applyFont="1" applyFill="1" applyBorder="1" applyAlignment="1" applyProtection="1">
      <alignment horizontal="left"/>
    </xf>
    <xf numFmtId="3" fontId="6" fillId="6" borderId="15" xfId="0" applyNumberFormat="1" applyFont="1" applyFill="1" applyBorder="1" applyAlignment="1" applyProtection="1">
      <alignment horizontal="left"/>
    </xf>
    <xf numFmtId="3" fontId="6" fillId="6" borderId="0" xfId="0" applyNumberFormat="1" applyFont="1" applyFill="1" applyBorder="1" applyAlignment="1" applyProtection="1">
      <alignment horizontal="left"/>
    </xf>
    <xf numFmtId="3" fontId="6" fillId="6" borderId="17" xfId="0" applyNumberFormat="1" applyFont="1" applyFill="1" applyBorder="1" applyAlignment="1" applyProtection="1">
      <alignment horizontal="left"/>
    </xf>
    <xf numFmtId="0" fontId="18" fillId="22" borderId="48" xfId="0" applyFont="1" applyFill="1" applyBorder="1" applyAlignment="1" applyProtection="1">
      <alignment horizontal="center" vertical="center" wrapText="1"/>
    </xf>
    <xf numFmtId="0" fontId="18" fillId="22" borderId="17" xfId="0" applyFont="1" applyFill="1" applyBorder="1" applyAlignment="1" applyProtection="1">
      <alignment horizontal="center" vertical="center" wrapText="1"/>
    </xf>
    <xf numFmtId="167" fontId="5" fillId="0" borderId="58" xfId="0" applyNumberFormat="1" applyFont="1" applyFill="1" applyBorder="1" applyAlignment="1" applyProtection="1">
      <alignment horizontal="right" vertical="center"/>
    </xf>
    <xf numFmtId="167" fontId="5" fillId="0" borderId="54" xfId="0" applyNumberFormat="1" applyFont="1" applyFill="1" applyBorder="1" applyAlignment="1" applyProtection="1">
      <alignment horizontal="right" vertical="center"/>
    </xf>
    <xf numFmtId="167" fontId="5" fillId="0" borderId="28" xfId="0" applyNumberFormat="1" applyFont="1" applyFill="1" applyBorder="1" applyAlignment="1" applyProtection="1">
      <alignment horizontal="right" vertical="center"/>
    </xf>
    <xf numFmtId="1" fontId="13" fillId="5" borderId="0" xfId="0" applyNumberFormat="1" applyFont="1" applyFill="1" applyBorder="1" applyAlignment="1" applyProtection="1">
      <alignment horizontal="left" vertical="center" wrapText="1"/>
    </xf>
    <xf numFmtId="0" fontId="13" fillId="5" borderId="44" xfId="0" applyFont="1" applyFill="1" applyBorder="1" applyAlignment="1" applyProtection="1">
      <alignment horizontal="left" vertical="center" wrapText="1"/>
    </xf>
    <xf numFmtId="0" fontId="13" fillId="5" borderId="45" xfId="0" applyFont="1" applyFill="1" applyBorder="1" applyAlignment="1" applyProtection="1">
      <alignment horizontal="left" vertical="center" wrapText="1"/>
    </xf>
    <xf numFmtId="0" fontId="13" fillId="5" borderId="48" xfId="0" applyFont="1" applyFill="1" applyBorder="1" applyAlignment="1" applyProtection="1">
      <alignment horizontal="left" vertical="center" wrapText="1"/>
    </xf>
    <xf numFmtId="0" fontId="13" fillId="5" borderId="38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17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/>
    <xf numFmtId="0" fontId="5" fillId="7" borderId="30" xfId="1" applyFont="1" applyFill="1" applyBorder="1" applyAlignment="1" applyProtection="1">
      <alignment horizontal="right"/>
    </xf>
    <xf numFmtId="0" fontId="5" fillId="7" borderId="1" xfId="1" applyFont="1" applyFill="1" applyBorder="1" applyAlignment="1" applyProtection="1">
      <alignment horizontal="right"/>
    </xf>
    <xf numFmtId="0" fontId="2" fillId="0" borderId="50" xfId="1" applyFont="1" applyFill="1" applyBorder="1" applyAlignment="1" applyProtection="1"/>
    <xf numFmtId="0" fontId="2" fillId="0" borderId="51" xfId="1" applyFont="1" applyFill="1" applyBorder="1" applyAlignment="1" applyProtection="1"/>
    <xf numFmtId="0" fontId="2" fillId="0" borderId="61" xfId="1" applyFont="1" applyFill="1" applyBorder="1" applyAlignment="1" applyProtection="1"/>
    <xf numFmtId="0" fontId="2" fillId="0" borderId="33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3" xfId="1" applyFont="1" applyFill="1" applyBorder="1" applyAlignment="1" applyProtection="1"/>
    <xf numFmtId="0" fontId="0" fillId="0" borderId="55" xfId="0" applyBorder="1" applyAlignment="1" applyProtection="1">
      <alignment vertical="center" textRotation="90" wrapText="1"/>
    </xf>
    <xf numFmtId="0" fontId="0" fillId="0" borderId="24" xfId="0" applyBorder="1" applyAlignment="1" applyProtection="1">
      <alignment vertical="center" textRotation="90" wrapText="1"/>
    </xf>
    <xf numFmtId="0" fontId="2" fillId="0" borderId="33" xfId="0" applyFont="1" applyBorder="1" applyAlignment="1" applyProtection="1"/>
    <xf numFmtId="0" fontId="2" fillId="0" borderId="3" xfId="0" applyFont="1" applyBorder="1" applyAlignment="1" applyProtection="1"/>
    <xf numFmtId="0" fontId="33" fillId="35" borderId="33" xfId="0" applyFont="1" applyFill="1" applyBorder="1" applyAlignment="1" applyProtection="1"/>
    <xf numFmtId="0" fontId="33" fillId="35" borderId="2" xfId="0" applyFont="1" applyFill="1" applyBorder="1" applyAlignment="1" applyProtection="1"/>
    <xf numFmtId="0" fontId="33" fillId="35" borderId="25" xfId="0" applyFont="1" applyFill="1" applyBorder="1" applyAlignment="1" applyProtection="1"/>
    <xf numFmtId="0" fontId="2" fillId="0" borderId="50" xfId="0" applyFont="1" applyBorder="1" applyAlignment="1" applyProtection="1"/>
    <xf numFmtId="0" fontId="2" fillId="0" borderId="51" xfId="0" applyFont="1" applyBorder="1" applyAlignment="1" applyProtection="1"/>
    <xf numFmtId="0" fontId="2" fillId="0" borderId="52" xfId="0" applyFont="1" applyBorder="1" applyAlignment="1" applyProtection="1"/>
    <xf numFmtId="0" fontId="14" fillId="10" borderId="20" xfId="0" applyFont="1" applyFill="1" applyBorder="1" applyAlignment="1" applyProtection="1">
      <alignment horizontal="center"/>
    </xf>
    <xf numFmtId="0" fontId="14" fillId="10" borderId="19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164" fontId="5" fillId="4" borderId="56" xfId="0" applyNumberFormat="1" applyFont="1" applyFill="1" applyBorder="1" applyAlignment="1" applyProtection="1">
      <alignment horizontal="center"/>
    </xf>
    <xf numFmtId="164" fontId="5" fillId="4" borderId="57" xfId="0" applyNumberFormat="1" applyFont="1" applyFill="1" applyBorder="1" applyAlignment="1" applyProtection="1">
      <alignment horizontal="center"/>
    </xf>
    <xf numFmtId="0" fontId="14" fillId="10" borderId="61" xfId="0" applyFont="1" applyFill="1" applyBorder="1" applyAlignment="1" applyProtection="1">
      <alignment horizontal="center"/>
    </xf>
    <xf numFmtId="0" fontId="14" fillId="10" borderId="49" xfId="0" applyFont="1" applyFill="1" applyBorder="1" applyAlignment="1" applyProtection="1">
      <alignment horizontal="center"/>
    </xf>
    <xf numFmtId="3" fontId="6" fillId="14" borderId="14" xfId="0" applyNumberFormat="1" applyFont="1" applyFill="1" applyBorder="1" applyAlignment="1" applyProtection="1">
      <alignment horizontal="right"/>
    </xf>
    <xf numFmtId="3" fontId="6" fillId="14" borderId="35" xfId="0" applyNumberFormat="1" applyFont="1" applyFill="1" applyBorder="1" applyAlignment="1" applyProtection="1">
      <alignment horizontal="right"/>
    </xf>
    <xf numFmtId="164" fontId="5" fillId="4" borderId="63" xfId="0" applyNumberFormat="1" applyFont="1" applyFill="1" applyBorder="1" applyAlignment="1" applyProtection="1">
      <alignment horizontal="center"/>
    </xf>
    <xf numFmtId="164" fontId="5" fillId="4" borderId="62" xfId="0" applyNumberFormat="1" applyFont="1" applyFill="1" applyBorder="1" applyAlignment="1" applyProtection="1">
      <alignment horizontal="center"/>
    </xf>
    <xf numFmtId="0" fontId="13" fillId="5" borderId="36" xfId="0" applyFont="1" applyFill="1" applyBorder="1" applyAlignment="1" applyProtection="1">
      <alignment horizontal="left" vertical="center" wrapText="1"/>
    </xf>
    <xf numFmtId="167" fontId="22" fillId="30" borderId="18" xfId="0" applyNumberFormat="1" applyFont="1" applyFill="1" applyBorder="1" applyAlignment="1" applyProtection="1">
      <alignment horizontal="center"/>
    </xf>
    <xf numFmtId="167" fontId="22" fillId="30" borderId="1" xfId="0" applyNumberFormat="1" applyFont="1" applyFill="1" applyBorder="1" applyAlignment="1" applyProtection="1">
      <alignment horizontal="center"/>
    </xf>
    <xf numFmtId="0" fontId="21" fillId="40" borderId="78" xfId="0" applyFont="1" applyFill="1" applyBorder="1" applyAlignment="1" applyProtection="1">
      <alignment horizontal="center" vertical="center" wrapText="1"/>
    </xf>
    <xf numFmtId="0" fontId="21" fillId="40" borderId="71" xfId="0" applyFont="1" applyFill="1" applyBorder="1" applyAlignment="1">
      <alignment horizontal="center" vertical="center" wrapText="1"/>
    </xf>
    <xf numFmtId="0" fontId="0" fillId="6" borderId="15" xfId="0" applyFill="1" applyBorder="1" applyProtection="1"/>
    <xf numFmtId="0" fontId="18" fillId="28" borderId="57" xfId="0" applyFont="1" applyFill="1" applyBorder="1" applyAlignment="1" applyProtection="1">
      <alignment horizontal="center" vertical="center" wrapText="1"/>
    </xf>
    <xf numFmtId="0" fontId="18" fillId="29" borderId="56" xfId="0" applyFont="1" applyFill="1" applyBorder="1" applyAlignment="1" applyProtection="1">
      <alignment horizontal="center" vertical="center" wrapText="1"/>
    </xf>
    <xf numFmtId="0" fontId="18" fillId="29" borderId="57" xfId="0" applyFont="1" applyFill="1" applyBorder="1" applyAlignment="1" applyProtection="1">
      <alignment horizontal="center" vertical="center" wrapText="1"/>
    </xf>
    <xf numFmtId="0" fontId="18" fillId="22" borderId="56" xfId="0" applyFont="1" applyFill="1" applyBorder="1" applyAlignment="1" applyProtection="1">
      <alignment horizontal="center" vertical="center" wrapText="1"/>
    </xf>
    <xf numFmtId="0" fontId="18" fillId="22" borderId="57" xfId="0" applyFont="1" applyFill="1" applyBorder="1" applyAlignment="1" applyProtection="1">
      <alignment horizontal="center" vertical="center" wrapText="1"/>
    </xf>
    <xf numFmtId="49" fontId="18" fillId="22" borderId="56" xfId="0" applyNumberFormat="1" applyFont="1" applyFill="1" applyBorder="1" applyAlignment="1" applyProtection="1">
      <alignment horizontal="center" vertical="center" wrapText="1"/>
    </xf>
    <xf numFmtId="49" fontId="18" fillId="22" borderId="57" xfId="0" applyNumberFormat="1" applyFont="1" applyFill="1" applyBorder="1" applyAlignment="1" applyProtection="1">
      <alignment horizontal="center" vertical="center" wrapText="1"/>
    </xf>
    <xf numFmtId="3" fontId="6" fillId="14" borderId="15" xfId="0" applyNumberFormat="1" applyFont="1" applyFill="1" applyBorder="1" applyAlignment="1" applyProtection="1">
      <alignment horizontal="right"/>
    </xf>
    <xf numFmtId="3" fontId="6" fillId="14" borderId="37" xfId="0" applyNumberFormat="1" applyFont="1" applyFill="1" applyBorder="1" applyAlignment="1" applyProtection="1">
      <alignment horizontal="right"/>
    </xf>
    <xf numFmtId="167" fontId="21" fillId="30" borderId="14" xfId="0" applyNumberFormat="1" applyFont="1" applyFill="1" applyBorder="1" applyAlignment="1" applyProtection="1">
      <alignment horizontal="center"/>
    </xf>
    <xf numFmtId="167" fontId="21" fillId="30" borderId="15" xfId="0" applyNumberFormat="1" applyFont="1" applyFill="1" applyBorder="1" applyAlignment="1" applyProtection="1">
      <alignment horizontal="center"/>
    </xf>
    <xf numFmtId="167" fontId="21" fillId="30" borderId="35" xfId="0" applyNumberFormat="1" applyFont="1" applyFill="1" applyBorder="1" applyAlignment="1" applyProtection="1">
      <alignment horizontal="center"/>
    </xf>
    <xf numFmtId="167" fontId="22" fillId="32" borderId="41" xfId="0" applyNumberFormat="1" applyFont="1" applyFill="1" applyBorder="1" applyAlignment="1" applyProtection="1">
      <alignment horizontal="center"/>
    </xf>
    <xf numFmtId="167" fontId="22" fillId="32" borderId="30" xfId="0" applyNumberFormat="1" applyFont="1" applyFill="1" applyBorder="1" applyAlignment="1" applyProtection="1">
      <alignment horizontal="center"/>
    </xf>
    <xf numFmtId="167" fontId="22" fillId="32" borderId="46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TableStyleLight1" xfId="1" xr:uid="{00000000-0005-0000-0000-000001000000}"/>
  </cellStyles>
  <dxfs count="1"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C398"/>
      <color rgb="FFFFFFA7"/>
      <color rgb="FFF66A6A"/>
      <color rgb="FFF33939"/>
      <color rgb="FFFFD85D"/>
      <color rgb="FFFFAFAF"/>
      <color rgb="FFD9D9FF"/>
      <color rgb="FFE7E7FF"/>
      <color rgb="FFCCCC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1245630</xdr:colOff>
      <xdr:row>5</xdr:row>
      <xdr:rowOff>118419</xdr:rowOff>
    </xdr:from>
    <xdr:to>
      <xdr:col>1</xdr:col>
      <xdr:colOff>317500</xdr:colOff>
      <xdr:row>5</xdr:row>
      <xdr:rowOff>152400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45630" y="1216969"/>
          <a:ext cx="367270" cy="33981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1130986</xdr:colOff>
      <xdr:row>5</xdr:row>
      <xdr:rowOff>203200</xdr:rowOff>
    </xdr:from>
    <xdr:to>
      <xdr:col>1</xdr:col>
      <xdr:colOff>400050</xdr:colOff>
      <xdr:row>5</xdr:row>
      <xdr:rowOff>267732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130986" y="1301750"/>
          <a:ext cx="564464" cy="64532"/>
        </a:xfrm>
        <a:prstGeom prst="straightConnector1">
          <a:avLst/>
        </a:prstGeom>
        <a:ln w="31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96837</xdr:colOff>
      <xdr:row>1</xdr:row>
      <xdr:rowOff>17462</xdr:rowOff>
    </xdr:from>
    <xdr:to>
      <xdr:col>4</xdr:col>
      <xdr:colOff>714375</xdr:colOff>
      <xdr:row>24</xdr:row>
      <xdr:rowOff>1587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06962" y="198437"/>
          <a:ext cx="617538" cy="4146550"/>
        </a:xfrm>
        <a:prstGeom prst="leftBrace">
          <a:avLst>
            <a:gd name="adj1" fmla="val 4096"/>
            <a:gd name="adj2" fmla="val 14864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655582</xdr:colOff>
      <xdr:row>33</xdr:row>
      <xdr:rowOff>42487</xdr:rowOff>
    </xdr:from>
    <xdr:to>
      <xdr:col>2</xdr:col>
      <xdr:colOff>658822</xdr:colOff>
      <xdr:row>33</xdr:row>
      <xdr:rowOff>50407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9FF75598-A88C-4A2C-8A77-55AC859B1840}"/>
                </a:ext>
              </a:extLst>
            </xdr14:cNvPr>
            <xdr14:cNvContentPartPr/>
          </xdr14:nvContentPartPr>
          <xdr14:nvPr macro=""/>
          <xdr14:xfrm>
            <a:off x="3355920" y="5590800"/>
            <a:ext cx="3240" cy="7920"/>
          </xdr14:xfrm>
        </xdr:contentPart>
      </mc:Choice>
      <mc:Fallback xmlns="">
        <xdr:pic>
          <xdr:nvPicPr>
            <xdr:cNvPr id="3" name="Freihand 2">
              <a:extLst>
                <a:ext uri="{FF2B5EF4-FFF2-40B4-BE49-F238E27FC236}">
                  <a16:creationId xmlns:a16="http://schemas.microsoft.com/office/drawing/2014/main" id="{9FF75598-A88C-4A2C-8A77-55AC859B18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47280" y="5582160"/>
              <a:ext cx="20880" cy="25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233948</xdr:colOff>
      <xdr:row>1</xdr:row>
      <xdr:rowOff>20052</xdr:rowOff>
    </xdr:from>
    <xdr:to>
      <xdr:col>5</xdr:col>
      <xdr:colOff>698500</xdr:colOff>
      <xdr:row>2</xdr:row>
      <xdr:rowOff>46793</xdr:rowOff>
    </xdr:to>
    <xdr:sp macro="" textlink="">
      <xdr:nvSpPr>
        <xdr:cNvPr id="17" name="Nach oben gebogener Pfei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rot="5400000">
          <a:off x="3545971" y="73529"/>
          <a:ext cx="217241" cy="464552"/>
        </a:xfrm>
        <a:prstGeom prst="bentUpArrow">
          <a:avLst>
            <a:gd name="adj1" fmla="val 25000"/>
            <a:gd name="adj2" fmla="val 33462"/>
            <a:gd name="adj3" fmla="val 50000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44821</xdr:colOff>
      <xdr:row>5</xdr:row>
      <xdr:rowOff>23812</xdr:rowOff>
    </xdr:from>
    <xdr:to>
      <xdr:col>14</xdr:col>
      <xdr:colOff>246062</xdr:colOff>
      <xdr:row>9</xdr:row>
      <xdr:rowOff>150813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34884" y="1063625"/>
          <a:ext cx="201241" cy="865188"/>
        </a:xfrm>
        <a:prstGeom prst="rightBrace">
          <a:avLst>
            <a:gd name="adj1" fmla="val 15588"/>
            <a:gd name="adj2" fmla="val 61927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14</xdr:col>
      <xdr:colOff>500059</xdr:colOff>
      <xdr:row>8</xdr:row>
      <xdr:rowOff>44823</xdr:rowOff>
    </xdr:from>
    <xdr:ext cx="673326" cy="374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90122" y="1640261"/>
          <a:ext cx="67332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 u="none">
              <a:solidFill>
                <a:sysClr val="windowText" lastClr="000000"/>
              </a:solidFill>
            </a:rPr>
            <a:t>inkl.</a:t>
          </a:r>
          <a:r>
            <a:rPr lang="de-DE" sz="900" b="1" u="none" baseline="0">
              <a:solidFill>
                <a:sysClr val="windowText" lastClr="000000"/>
              </a:solidFill>
            </a:rPr>
            <a:t> </a:t>
          </a:r>
          <a:r>
            <a:rPr lang="de-DE" sz="900" baseline="0">
              <a:solidFill>
                <a:sysClr val="windowText" lastClr="000000"/>
              </a:solidFill>
            </a:rPr>
            <a:t>AAG-</a:t>
          </a:r>
        </a:p>
        <a:p>
          <a:r>
            <a:rPr lang="de-DE" sz="900" baseline="0">
              <a:solidFill>
                <a:sysClr val="windowText" lastClr="000000"/>
              </a:solidFill>
            </a:rPr>
            <a:t>Erstattung</a:t>
          </a:r>
        </a:p>
      </xdr:txBody>
    </xdr:sp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5T12:58:31.4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21 768,'-4'-9'352,"4"5"-288,-4 1-64,4 3-96,0 0-224,0-4-64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6"/>
  <dimension ref="A1:G23"/>
  <sheetViews>
    <sheetView workbookViewId="0">
      <selection activeCell="L30" sqref="L30"/>
    </sheetView>
  </sheetViews>
  <sheetFormatPr baseColWidth="10" defaultRowHeight="14.25" x14ac:dyDescent="0.45"/>
  <cols>
    <col min="1" max="1" width="3.19921875" style="242" customWidth="1"/>
    <col min="2" max="2" width="11" style="241"/>
  </cols>
  <sheetData>
    <row r="1" spans="1:7" x14ac:dyDescent="0.45">
      <c r="A1" s="430" t="s">
        <v>153</v>
      </c>
      <c r="B1" s="430"/>
    </row>
    <row r="3" spans="1:7" ht="14.65" customHeight="1" x14ac:dyDescent="0.45">
      <c r="A3" s="427" t="s">
        <v>121</v>
      </c>
      <c r="B3" s="421" t="s">
        <v>154</v>
      </c>
      <c r="C3" s="421"/>
      <c r="D3" s="421"/>
      <c r="E3" s="421"/>
      <c r="F3" s="421"/>
      <c r="G3" s="422"/>
    </row>
    <row r="4" spans="1:7" x14ac:dyDescent="0.45">
      <c r="A4" s="428"/>
      <c r="B4" s="423"/>
      <c r="C4" s="423"/>
      <c r="D4" s="423"/>
      <c r="E4" s="423"/>
      <c r="F4" s="423"/>
      <c r="G4" s="424"/>
    </row>
    <row r="5" spans="1:7" x14ac:dyDescent="0.45">
      <c r="A5" s="429"/>
      <c r="B5" s="425"/>
      <c r="C5" s="425"/>
      <c r="D5" s="425"/>
      <c r="E5" s="425"/>
      <c r="F5" s="425"/>
      <c r="G5" s="426"/>
    </row>
    <row r="7" spans="1:7" x14ac:dyDescent="0.45">
      <c r="A7" s="242" t="s">
        <v>121</v>
      </c>
      <c r="B7" s="241" t="s">
        <v>188</v>
      </c>
    </row>
    <row r="8" spans="1:7" x14ac:dyDescent="0.45">
      <c r="A8" s="242" t="s">
        <v>121</v>
      </c>
      <c r="B8" s="241" t="s">
        <v>189</v>
      </c>
    </row>
    <row r="10" spans="1:7" x14ac:dyDescent="0.45">
      <c r="A10" s="242" t="s">
        <v>121</v>
      </c>
      <c r="B10" s="241" t="s">
        <v>220</v>
      </c>
    </row>
    <row r="11" spans="1:7" x14ac:dyDescent="0.45">
      <c r="A11" s="242" t="s">
        <v>121</v>
      </c>
      <c r="B11" s="241" t="s">
        <v>221</v>
      </c>
    </row>
    <row r="15" spans="1:7" x14ac:dyDescent="0.45">
      <c r="A15" s="242" t="s">
        <v>121</v>
      </c>
      <c r="B15" s="372" t="s">
        <v>190</v>
      </c>
    </row>
    <row r="16" spans="1:7" x14ac:dyDescent="0.45">
      <c r="B16" s="241" t="s">
        <v>191</v>
      </c>
    </row>
    <row r="17" spans="2:2" x14ac:dyDescent="0.45">
      <c r="B17" s="241" t="s">
        <v>192</v>
      </c>
    </row>
    <row r="19" spans="2:2" x14ac:dyDescent="0.45">
      <c r="B19" s="241" t="s">
        <v>263</v>
      </c>
    </row>
    <row r="20" spans="2:2" x14ac:dyDescent="0.45">
      <c r="B20" s="241" t="s">
        <v>199</v>
      </c>
    </row>
    <row r="21" spans="2:2" x14ac:dyDescent="0.45">
      <c r="B21" s="241" t="s">
        <v>200</v>
      </c>
    </row>
    <row r="22" spans="2:2" x14ac:dyDescent="0.45">
      <c r="B22" s="241" t="s">
        <v>203</v>
      </c>
    </row>
    <row r="23" spans="2:2" x14ac:dyDescent="0.45">
      <c r="B23" s="241" t="s">
        <v>202</v>
      </c>
    </row>
  </sheetData>
  <mergeCells count="3">
    <mergeCell ref="B3:G5"/>
    <mergeCell ref="A3:A5"/>
    <mergeCell ref="A1:B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M8"/>
  <sheetViews>
    <sheetView zoomScaleNormal="100" workbookViewId="0">
      <selection activeCell="I4" sqref="I4"/>
    </sheetView>
  </sheetViews>
  <sheetFormatPr baseColWidth="10" defaultRowHeight="14.25" x14ac:dyDescent="0.45"/>
  <cols>
    <col min="1" max="1" width="43.73046875" customWidth="1"/>
    <col min="2" max="2" width="8.7304687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7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ht="15" customHeight="1" x14ac:dyDescent="0.45">
      <c r="A3" s="175" t="s">
        <v>37</v>
      </c>
      <c r="B3" s="97">
        <v>1</v>
      </c>
      <c r="C3" s="9">
        <v>0</v>
      </c>
      <c r="D3" s="54">
        <v>0</v>
      </c>
      <c r="E3" s="55">
        <f>D3-C3</f>
        <v>0</v>
      </c>
      <c r="F3" s="9">
        <v>0</v>
      </c>
      <c r="G3" s="54">
        <v>0</v>
      </c>
      <c r="H3" s="55">
        <f>F3-G3</f>
        <v>0</v>
      </c>
      <c r="I3" s="237">
        <v>200</v>
      </c>
      <c r="J3" s="119">
        <f t="shared" ref="J3:J7" si="0">IF(H3&lt;0,IF(I3&gt;0,IF((H3*(-1))&gt;I3,I3,H3*(-1)),0),0)</f>
        <v>0</v>
      </c>
      <c r="K3" s="219">
        <f>IF(OR(J3&gt;I3,H3+I3&lt;0),makro1(),ROUNDDOWN(I3-J3,-1))</f>
        <v>200</v>
      </c>
      <c r="L3" s="357">
        <f>IF(H3&gt;0,ROUNDDOWN(H3,-1),0)</f>
        <v>0</v>
      </c>
      <c r="M3" s="359">
        <f>(D3-G3+J3)-(C3-F3)</f>
        <v>0</v>
      </c>
    </row>
    <row r="4" spans="1:13" ht="15" customHeight="1" x14ac:dyDescent="0.45">
      <c r="A4" s="176" t="s">
        <v>110</v>
      </c>
      <c r="B4" s="98">
        <v>1</v>
      </c>
      <c r="C4" s="12">
        <v>0</v>
      </c>
      <c r="D4" s="58">
        <v>0</v>
      </c>
      <c r="E4" s="55">
        <f>D4-C4</f>
        <v>0</v>
      </c>
      <c r="F4" s="12">
        <v>100</v>
      </c>
      <c r="G4" s="58">
        <v>0</v>
      </c>
      <c r="H4" s="59">
        <f>F4-G4</f>
        <v>100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357">
        <f t="shared" ref="L4:L7" si="1">IF(H4&gt;0,ROUNDDOWN(H4,-1),0)</f>
        <v>100</v>
      </c>
      <c r="M4" s="360">
        <f t="shared" ref="M4:M8" si="2">(D4-G4+J4)-(C4-F4)</f>
        <v>100</v>
      </c>
    </row>
    <row r="5" spans="1:13" x14ac:dyDescent="0.45">
      <c r="A5" s="178" t="s">
        <v>91</v>
      </c>
      <c r="B5" s="99"/>
      <c r="C5" s="9">
        <v>0</v>
      </c>
      <c r="D5" s="54">
        <v>0</v>
      </c>
      <c r="E5" s="55">
        <f>D5-C5</f>
        <v>0</v>
      </c>
      <c r="F5" s="9">
        <v>150</v>
      </c>
      <c r="G5" s="54">
        <v>0</v>
      </c>
      <c r="H5" s="55">
        <f>F5-G5</f>
        <v>150</v>
      </c>
      <c r="I5" s="243">
        <v>300</v>
      </c>
      <c r="J5" s="119">
        <f t="shared" si="0"/>
        <v>0</v>
      </c>
      <c r="K5" s="219">
        <f>IF(OR(J5&gt;I5,H5+I5&lt;0),makro1(),ROUNDDOWN(I5-J5,-1))</f>
        <v>300</v>
      </c>
      <c r="L5" s="358">
        <f t="shared" si="1"/>
        <v>150</v>
      </c>
      <c r="M5" s="360">
        <f t="shared" si="2"/>
        <v>150</v>
      </c>
    </row>
    <row r="6" spans="1:13" x14ac:dyDescent="0.45">
      <c r="A6" s="185" t="s">
        <v>111</v>
      </c>
      <c r="B6" s="102">
        <v>1</v>
      </c>
      <c r="C6" s="69">
        <v>0</v>
      </c>
      <c r="D6" s="70">
        <v>0</v>
      </c>
      <c r="E6" s="55">
        <f>D6-C6</f>
        <v>0</v>
      </c>
      <c r="F6" s="69">
        <v>150</v>
      </c>
      <c r="G6" s="70">
        <v>0</v>
      </c>
      <c r="H6" s="55">
        <f>F6-G6</f>
        <v>150</v>
      </c>
      <c r="I6" s="237">
        <v>0</v>
      </c>
      <c r="J6" s="119">
        <f t="shared" si="0"/>
        <v>0</v>
      </c>
      <c r="K6" s="219">
        <f>IF(OR(J6&gt;I6,H6+I6&lt;0),makro1(),ROUNDDOWN(I6-J6,-1))</f>
        <v>0</v>
      </c>
      <c r="L6" s="357">
        <f t="shared" si="1"/>
        <v>150</v>
      </c>
      <c r="M6" s="360">
        <f t="shared" si="2"/>
        <v>150</v>
      </c>
    </row>
    <row r="7" spans="1:13" ht="14.65" thickBot="1" x14ac:dyDescent="0.5">
      <c r="A7" s="186" t="s">
        <v>112</v>
      </c>
      <c r="B7" s="101"/>
      <c r="C7" s="42">
        <v>0</v>
      </c>
      <c r="D7" s="56">
        <v>0</v>
      </c>
      <c r="E7" s="55">
        <f>D7-C7</f>
        <v>0</v>
      </c>
      <c r="F7" s="42">
        <v>450</v>
      </c>
      <c r="G7" s="56">
        <v>0</v>
      </c>
      <c r="H7" s="57">
        <f>F7-G7</f>
        <v>450</v>
      </c>
      <c r="I7" s="237">
        <v>900</v>
      </c>
      <c r="J7" s="119">
        <f t="shared" si="0"/>
        <v>0</v>
      </c>
      <c r="K7" s="219">
        <f>IF(OR(J7&gt;I7,H7+I7&lt;0),makro1(),ROUNDDOWN(I7-J7,-1))</f>
        <v>900</v>
      </c>
      <c r="L7" s="357">
        <f t="shared" si="1"/>
        <v>450</v>
      </c>
      <c r="M7" s="360">
        <f t="shared" si="2"/>
        <v>450</v>
      </c>
    </row>
    <row r="8" spans="1:13" s="252" customFormat="1" ht="14.65" thickBot="1" x14ac:dyDescent="0.5">
      <c r="A8" s="672" t="s">
        <v>65</v>
      </c>
      <c r="B8" s="673"/>
      <c r="C8" s="44">
        <f t="shared" ref="C8:L8" si="3">SUM(C3:C7)</f>
        <v>0</v>
      </c>
      <c r="D8" s="43">
        <f t="shared" si="3"/>
        <v>0</v>
      </c>
      <c r="E8" s="43">
        <f t="shared" si="3"/>
        <v>0</v>
      </c>
      <c r="F8" s="24">
        <f t="shared" si="3"/>
        <v>850</v>
      </c>
      <c r="G8" s="43">
        <f t="shared" si="3"/>
        <v>0</v>
      </c>
      <c r="H8" s="24">
        <f t="shared" si="3"/>
        <v>850</v>
      </c>
      <c r="I8" s="248">
        <f t="shared" si="3"/>
        <v>1400</v>
      </c>
      <c r="J8" s="249">
        <f t="shared" si="3"/>
        <v>0</v>
      </c>
      <c r="K8" s="250">
        <f t="shared" si="3"/>
        <v>1400</v>
      </c>
      <c r="L8" s="364">
        <f t="shared" si="3"/>
        <v>850</v>
      </c>
      <c r="M8" s="363">
        <f t="shared" si="2"/>
        <v>850</v>
      </c>
    </row>
  </sheetData>
  <customSheetViews>
    <customSheetView guid="{DCE90488-5D47-411B-84E2-3F0A7D96BA08}">
      <selection activeCell="G7" sqref="G7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8:B8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M7"/>
  <sheetViews>
    <sheetView workbookViewId="0">
      <selection activeCell="F7" sqref="F7"/>
    </sheetView>
  </sheetViews>
  <sheetFormatPr baseColWidth="10" defaultRowHeight="14.25" x14ac:dyDescent="0.45"/>
  <cols>
    <col min="1" max="1" width="40.53125" bestFit="1" customWidth="1"/>
    <col min="2" max="2" width="8.7304687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8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x14ac:dyDescent="0.45">
      <c r="A3" s="181" t="s">
        <v>227</v>
      </c>
      <c r="B3" s="97"/>
      <c r="C3" s="9">
        <v>0</v>
      </c>
      <c r="D3" s="54">
        <v>0</v>
      </c>
      <c r="E3" s="55">
        <f>D3-C3</f>
        <v>0</v>
      </c>
      <c r="F3" s="9">
        <v>500</v>
      </c>
      <c r="G3" s="54">
        <v>0</v>
      </c>
      <c r="H3" s="55">
        <f>F3-G3</f>
        <v>500</v>
      </c>
      <c r="I3" s="237">
        <v>0</v>
      </c>
      <c r="J3" s="119">
        <f t="shared" ref="J3:J5" si="0">IF(H3&lt;0,IF(I3&gt;0,IF((H3*(-1))&gt;I3,I3,H3*(-1)),0),0)</f>
        <v>0</v>
      </c>
      <c r="K3" s="219">
        <f>IF(OR(J3&gt;I3,H3+I3&lt;0),makro1(),ROUNDDOWN(I3-J3,-1))</f>
        <v>0</v>
      </c>
      <c r="L3" s="231">
        <f>IF(H3&gt;0,ROUNDDOWN(H3,-1),0)</f>
        <v>500</v>
      </c>
      <c r="M3" s="359">
        <f>(D3-G3+J3)-(C3-F3)</f>
        <v>500</v>
      </c>
    </row>
    <row r="4" spans="1:13" x14ac:dyDescent="0.45">
      <c r="A4" s="182" t="s">
        <v>96</v>
      </c>
      <c r="B4" s="102">
        <v>1</v>
      </c>
      <c r="C4" s="69">
        <v>0</v>
      </c>
      <c r="D4" s="70">
        <v>0</v>
      </c>
      <c r="E4" s="55">
        <f>D4-C4</f>
        <v>0</v>
      </c>
      <c r="F4" s="69">
        <v>50</v>
      </c>
      <c r="G4" s="70">
        <v>0</v>
      </c>
      <c r="H4" s="55">
        <f>F4-G4</f>
        <v>50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231">
        <f t="shared" ref="L4:L5" si="1">IF(H4&gt;0,ROUNDDOWN(H4,-1),0)</f>
        <v>50</v>
      </c>
      <c r="M4" s="360">
        <f t="shared" ref="M4:M5" si="2">(D4-G4+J4)-(C4-F4)</f>
        <v>50</v>
      </c>
    </row>
    <row r="5" spans="1:13" ht="14.65" thickBot="1" x14ac:dyDescent="0.5">
      <c r="A5" s="180" t="s">
        <v>31</v>
      </c>
      <c r="B5" s="416">
        <v>1</v>
      </c>
      <c r="C5" s="42">
        <v>0</v>
      </c>
      <c r="D5" s="56">
        <v>0</v>
      </c>
      <c r="E5" s="55">
        <f>D5-C5</f>
        <v>0</v>
      </c>
      <c r="F5" s="42">
        <v>50</v>
      </c>
      <c r="G5" s="56">
        <v>0</v>
      </c>
      <c r="H5" s="57">
        <f>F5-G5</f>
        <v>50</v>
      </c>
      <c r="I5" s="243">
        <v>50</v>
      </c>
      <c r="J5" s="119">
        <f t="shared" si="0"/>
        <v>0</v>
      </c>
      <c r="K5" s="219">
        <f>IF(OR(J5&gt;I5,H5+I5&lt;0),makro1(),ROUNDDOWN(I5-J5,-1))</f>
        <v>50</v>
      </c>
      <c r="L5" s="244">
        <f t="shared" si="1"/>
        <v>50</v>
      </c>
      <c r="M5" s="361">
        <f t="shared" si="2"/>
        <v>50</v>
      </c>
    </row>
    <row r="6" spans="1:13" ht="14.65" thickBot="1" x14ac:dyDescent="0.5">
      <c r="A6" s="417" t="s">
        <v>226</v>
      </c>
      <c r="B6" s="101"/>
      <c r="C6" s="42">
        <v>0</v>
      </c>
      <c r="D6" s="56">
        <v>0</v>
      </c>
      <c r="E6" s="55">
        <f>D6-C6</f>
        <v>0</v>
      </c>
      <c r="F6" s="42">
        <v>250</v>
      </c>
      <c r="G6" s="56">
        <v>0</v>
      </c>
      <c r="H6" s="57">
        <f>F6-G6</f>
        <v>250</v>
      </c>
      <c r="I6" s="691"/>
      <c r="J6" s="692"/>
      <c r="K6" s="692"/>
      <c r="L6" s="693"/>
      <c r="M6" s="366"/>
    </row>
    <row r="7" spans="1:13" s="252" customFormat="1" ht="14.65" thickBot="1" x14ac:dyDescent="0.5">
      <c r="A7" s="672" t="s">
        <v>65</v>
      </c>
      <c r="B7" s="690"/>
      <c r="C7" s="44">
        <f t="shared" ref="C7:H7" si="3">SUM(C3:C6)</f>
        <v>0</v>
      </c>
      <c r="D7" s="43">
        <f t="shared" si="3"/>
        <v>0</v>
      </c>
      <c r="E7" s="43">
        <f t="shared" si="3"/>
        <v>0</v>
      </c>
      <c r="F7" s="24">
        <f t="shared" si="3"/>
        <v>850</v>
      </c>
      <c r="G7" s="43">
        <f t="shared" si="3"/>
        <v>0</v>
      </c>
      <c r="H7" s="24">
        <f t="shared" si="3"/>
        <v>850</v>
      </c>
      <c r="I7" s="248">
        <f>SUM(I3:I5)</f>
        <v>50</v>
      </c>
      <c r="J7" s="249">
        <f>SUM(J3:J5)</f>
        <v>0</v>
      </c>
      <c r="K7" s="250">
        <f>SUM(K3:K5)</f>
        <v>50</v>
      </c>
      <c r="L7" s="251">
        <f>SUM(L3:L5)</f>
        <v>600</v>
      </c>
      <c r="M7" s="363">
        <f>(D7-G7+J7)-(C7-F7)</f>
        <v>850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J1:J2"/>
    <mergeCell ref="K1:K2"/>
    <mergeCell ref="L1:L2"/>
    <mergeCell ref="F1:H1"/>
    <mergeCell ref="A7:B7"/>
    <mergeCell ref="A1:A2"/>
    <mergeCell ref="B1:B2"/>
    <mergeCell ref="C1:E1"/>
    <mergeCell ref="I1:I2"/>
    <mergeCell ref="I6:L6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O14"/>
  <sheetViews>
    <sheetView zoomScale="101" zoomScaleNormal="90" workbookViewId="0">
      <selection activeCell="A18" sqref="A18"/>
    </sheetView>
  </sheetViews>
  <sheetFormatPr baseColWidth="10" defaultRowHeight="14.25" x14ac:dyDescent="0.45"/>
  <cols>
    <col min="1" max="1" width="40.53125" bestFit="1" customWidth="1"/>
    <col min="2" max="2" width="8" bestFit="1" customWidth="1"/>
    <col min="4" max="4" width="12.265625" bestFit="1" customWidth="1"/>
    <col min="5" max="5" width="13.265625" bestFit="1" customWidth="1"/>
    <col min="6" max="6" width="11.796875" bestFit="1" customWidth="1"/>
    <col min="7" max="7" width="12.265625" bestFit="1" customWidth="1"/>
    <col min="8" max="8" width="13" bestFit="1" customWidth="1"/>
  </cols>
  <sheetData>
    <row r="1" spans="1:15" ht="18.7" customHeight="1" x14ac:dyDescent="0.45">
      <c r="A1" s="640" t="s">
        <v>117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5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5" x14ac:dyDescent="0.45">
      <c r="A3" s="175" t="s">
        <v>259</v>
      </c>
      <c r="B3" s="97">
        <v>2</v>
      </c>
      <c r="C3" s="9">
        <v>2000</v>
      </c>
      <c r="D3" s="54">
        <v>0</v>
      </c>
      <c r="E3" s="55">
        <f t="shared" ref="E3:E13" si="0">D3-C3</f>
        <v>-2000</v>
      </c>
      <c r="F3" s="9">
        <v>2000</v>
      </c>
      <c r="G3" s="54">
        <v>0</v>
      </c>
      <c r="H3" s="55">
        <f t="shared" ref="H3:H13" si="1">F3-G3</f>
        <v>2000</v>
      </c>
      <c r="I3" s="237">
        <v>510</v>
      </c>
      <c r="J3" s="119">
        <f t="shared" ref="J3:J13" si="2">IF(H3&lt;0,IF(I3&gt;0,IF((H3*(-1))&gt;I3,I3,H3*(-1)),0),0)</f>
        <v>0</v>
      </c>
      <c r="K3" s="219">
        <f>IF(OR(J3&gt;I3,H3+I3&lt;0),makro1(),ROUNDDOWN(I3-J3,-1))</f>
        <v>510</v>
      </c>
      <c r="L3" s="357">
        <f>IF(H3&gt;0,ROUNDDOWN(H3,-1),0)</f>
        <v>2000</v>
      </c>
      <c r="M3" s="359">
        <f>(D3-G3+J3)-(C3-F3)</f>
        <v>0</v>
      </c>
      <c r="N3" s="300"/>
    </row>
    <row r="4" spans="1:15" x14ac:dyDescent="0.45">
      <c r="A4" s="176" t="s">
        <v>23</v>
      </c>
      <c r="B4" s="98"/>
      <c r="C4" s="12">
        <v>600</v>
      </c>
      <c r="D4" s="58">
        <v>0</v>
      </c>
      <c r="E4" s="55">
        <f t="shared" si="0"/>
        <v>-600</v>
      </c>
      <c r="F4" s="12">
        <v>900</v>
      </c>
      <c r="G4" s="58">
        <v>0</v>
      </c>
      <c r="H4" s="59">
        <f t="shared" si="1"/>
        <v>900</v>
      </c>
      <c r="I4" s="237">
        <v>70</v>
      </c>
      <c r="J4" s="119">
        <f t="shared" si="2"/>
        <v>0</v>
      </c>
      <c r="K4" s="219">
        <f>IF(OR(J4&gt;I4,H4+I4&lt;0),makro1(),ROUNDDOWN(I4-J4,-1))</f>
        <v>70</v>
      </c>
      <c r="L4" s="357">
        <f t="shared" ref="L4:L13" si="3">IF(H4&gt;0,ROUNDDOWN(H4,-1),0)</f>
        <v>900</v>
      </c>
      <c r="M4" s="360">
        <f t="shared" ref="M4:M13" si="4">(D4-G4+J4)-(C4-F4)</f>
        <v>300</v>
      </c>
      <c r="N4" s="300"/>
      <c r="O4" s="300"/>
    </row>
    <row r="5" spans="1:15" x14ac:dyDescent="0.45">
      <c r="A5" s="178" t="s">
        <v>245</v>
      </c>
      <c r="B5" s="99">
        <v>1</v>
      </c>
      <c r="C5" s="9">
        <v>1500</v>
      </c>
      <c r="D5" s="54">
        <v>0</v>
      </c>
      <c r="E5" s="55">
        <f t="shared" si="0"/>
        <v>-1500</v>
      </c>
      <c r="F5" s="9">
        <v>1500</v>
      </c>
      <c r="G5" s="54">
        <v>0</v>
      </c>
      <c r="H5" s="55">
        <f t="shared" si="1"/>
        <v>1500</v>
      </c>
      <c r="I5" s="243">
        <v>650</v>
      </c>
      <c r="J5" s="119">
        <f t="shared" si="2"/>
        <v>0</v>
      </c>
      <c r="K5" s="219">
        <f>IF(OR(J5&gt;I5,H5+I5&lt;0),makro1(),ROUNDDOWN(I5-J5,-1))</f>
        <v>650</v>
      </c>
      <c r="L5" s="358">
        <f t="shared" si="3"/>
        <v>1500</v>
      </c>
      <c r="M5" s="360">
        <f>(D5-G5+J5)-(C5-F5)</f>
        <v>0</v>
      </c>
      <c r="N5" s="300"/>
    </row>
    <row r="6" spans="1:15" x14ac:dyDescent="0.45">
      <c r="A6" s="179" t="s">
        <v>258</v>
      </c>
      <c r="B6" s="98">
        <v>2</v>
      </c>
      <c r="C6" s="42">
        <v>0</v>
      </c>
      <c r="D6" s="56">
        <v>0</v>
      </c>
      <c r="E6" s="55">
        <f t="shared" ref="E6" si="5">D6-C6</f>
        <v>0</v>
      </c>
      <c r="F6" s="42">
        <v>0</v>
      </c>
      <c r="G6" s="56">
        <v>0</v>
      </c>
      <c r="H6" s="57">
        <f t="shared" ref="H6" si="6">F6-G6</f>
        <v>0</v>
      </c>
      <c r="I6" s="237">
        <v>150</v>
      </c>
      <c r="J6" s="119">
        <f t="shared" ref="J6" si="7">IF(H6&lt;0,IF(I6&gt;0,IF((H6*(-1))&gt;I6,I6,H6*(-1)),0),0)</f>
        <v>0</v>
      </c>
      <c r="K6" s="219">
        <f>IF(OR(J6&gt;I6,H6+I6&lt;0),makro1(),ROUNDDOWN(I6-J6,-1))</f>
        <v>150</v>
      </c>
      <c r="L6" s="357">
        <f t="shared" si="3"/>
        <v>0</v>
      </c>
      <c r="M6" s="360">
        <f t="shared" ref="M6" si="8">(D6-G6+J6)-(C6-F6)</f>
        <v>0</v>
      </c>
      <c r="N6" s="300"/>
    </row>
    <row r="7" spans="1:15" x14ac:dyDescent="0.45">
      <c r="A7" s="179" t="s">
        <v>177</v>
      </c>
      <c r="B7" s="98">
        <v>1</v>
      </c>
      <c r="C7" s="42">
        <v>0</v>
      </c>
      <c r="D7" s="56">
        <v>0</v>
      </c>
      <c r="E7" s="55">
        <f t="shared" si="0"/>
        <v>0</v>
      </c>
      <c r="F7" s="42">
        <v>150</v>
      </c>
      <c r="G7" s="56">
        <v>0</v>
      </c>
      <c r="H7" s="57">
        <f t="shared" si="1"/>
        <v>150</v>
      </c>
      <c r="I7" s="237">
        <v>350</v>
      </c>
      <c r="J7" s="119">
        <f t="shared" si="2"/>
        <v>0</v>
      </c>
      <c r="K7" s="219">
        <f>IF(OR(J7&gt;I7,H7+I7&lt;0),makro1(),ROUNDDOWN(I7-J7,-1))</f>
        <v>350</v>
      </c>
      <c r="L7" s="357">
        <f t="shared" ref="L7" si="9">IF(H7&gt;0,ROUNDDOWN(H7,-1),0)</f>
        <v>150</v>
      </c>
      <c r="M7" s="360">
        <f t="shared" si="4"/>
        <v>150</v>
      </c>
      <c r="N7" s="300"/>
    </row>
    <row r="8" spans="1:15" x14ac:dyDescent="0.45">
      <c r="A8" s="179" t="s">
        <v>113</v>
      </c>
      <c r="B8" s="98">
        <v>1</v>
      </c>
      <c r="C8" s="42">
        <v>600</v>
      </c>
      <c r="D8" s="56">
        <v>0</v>
      </c>
      <c r="E8" s="55">
        <f t="shared" si="0"/>
        <v>-600</v>
      </c>
      <c r="F8" s="42">
        <v>600</v>
      </c>
      <c r="G8" s="56">
        <v>0</v>
      </c>
      <c r="H8" s="57">
        <f t="shared" si="1"/>
        <v>600</v>
      </c>
      <c r="I8" s="237">
        <v>340</v>
      </c>
      <c r="J8" s="119">
        <f t="shared" si="2"/>
        <v>0</v>
      </c>
      <c r="K8" s="219">
        <f>IF(OR(J8&gt;I8,H8+I8&lt;0),makro1(),ROUNDDOWN(I8-J8,-1))</f>
        <v>340</v>
      </c>
      <c r="L8" s="357">
        <f t="shared" si="3"/>
        <v>600</v>
      </c>
      <c r="M8" s="360">
        <f t="shared" si="4"/>
        <v>0</v>
      </c>
      <c r="N8" s="300"/>
    </row>
    <row r="9" spans="1:15" x14ac:dyDescent="0.45">
      <c r="A9" s="179" t="s">
        <v>257</v>
      </c>
      <c r="B9" s="98"/>
      <c r="C9" s="42">
        <v>5500</v>
      </c>
      <c r="D9" s="56">
        <v>0</v>
      </c>
      <c r="E9" s="55">
        <f t="shared" ref="E9" si="10">D9-C9</f>
        <v>-5500</v>
      </c>
      <c r="F9" s="42">
        <v>6000</v>
      </c>
      <c r="G9" s="56">
        <v>0</v>
      </c>
      <c r="H9" s="57">
        <f t="shared" ref="H9" si="11">F9-G9</f>
        <v>6000</v>
      </c>
      <c r="I9" s="237">
        <v>0</v>
      </c>
      <c r="J9" s="119">
        <f t="shared" ref="J9" si="12">IF(H9&lt;0,IF(I9&gt;0,IF((H9*(-1))&gt;I9,I9,H9*(-1)),0),0)</f>
        <v>0</v>
      </c>
      <c r="K9" s="219">
        <f>IF(OR(J9&gt;I9,H9+I9&lt;0),makro1(),ROUNDDOWN(I9-J9,-1))</f>
        <v>0</v>
      </c>
      <c r="L9" s="357">
        <f t="shared" ref="L9" si="13">IF(H9&gt;0,ROUNDDOWN(H9,-1),0)</f>
        <v>6000</v>
      </c>
      <c r="M9" s="360">
        <f t="shared" ref="M9" si="14">(D9-G9+J9)-(C9-F9)</f>
        <v>500</v>
      </c>
      <c r="N9" s="300"/>
    </row>
    <row r="10" spans="1:15" x14ac:dyDescent="0.45">
      <c r="A10" s="179" t="s">
        <v>256</v>
      </c>
      <c r="B10" s="98"/>
      <c r="C10" s="42">
        <v>3500</v>
      </c>
      <c r="D10" s="56">
        <v>0</v>
      </c>
      <c r="E10" s="55">
        <f t="shared" ref="E10" si="15">D10-C10</f>
        <v>-3500</v>
      </c>
      <c r="F10" s="42">
        <v>4000</v>
      </c>
      <c r="G10" s="56">
        <v>0</v>
      </c>
      <c r="H10" s="57">
        <f t="shared" ref="H10" si="16">F10-G10</f>
        <v>4000</v>
      </c>
      <c r="I10" s="237">
        <v>0</v>
      </c>
      <c r="J10" s="119">
        <f t="shared" ref="J10" si="17">IF(H10&lt;0,IF(I10&gt;0,IF((H10*(-1))&gt;I10,I10,H10*(-1)),0),0)</f>
        <v>0</v>
      </c>
      <c r="K10" s="219">
        <f>IF(OR(J10&gt;I10,H10+I10&lt;0),makro1(),ROUNDDOWN(I10-J10,-1))</f>
        <v>0</v>
      </c>
      <c r="L10" s="357">
        <f t="shared" ref="L10" si="18">IF(H10&gt;0,ROUNDDOWN(H10,-1),0)</f>
        <v>4000</v>
      </c>
      <c r="M10" s="360">
        <f t="shared" ref="M10" si="19">(D10-G10+J10)-(C10-F10)</f>
        <v>500</v>
      </c>
      <c r="N10" s="300"/>
    </row>
    <row r="11" spans="1:15" ht="14.65" thickBot="1" x14ac:dyDescent="0.5">
      <c r="A11" s="179" t="s">
        <v>255</v>
      </c>
      <c r="B11" s="98"/>
      <c r="C11" s="42">
        <v>3500</v>
      </c>
      <c r="D11" s="56">
        <v>0</v>
      </c>
      <c r="E11" s="55">
        <f t="shared" ref="E11" si="20">D11-C11</f>
        <v>-3500</v>
      </c>
      <c r="F11" s="42">
        <v>4500</v>
      </c>
      <c r="G11" s="56">
        <v>0</v>
      </c>
      <c r="H11" s="57">
        <f t="shared" ref="H11" si="21">F11-G11</f>
        <v>4500</v>
      </c>
      <c r="I11" s="237">
        <v>0</v>
      </c>
      <c r="J11" s="119">
        <f t="shared" ref="J11" si="22">IF(H11&lt;0,IF(I11&gt;0,IF((H11*(-1))&gt;I11,I11,H11*(-1)),0),0)</f>
        <v>0</v>
      </c>
      <c r="K11" s="219">
        <f>IF(OR(J11&gt;I11,H11+I11&lt;0),makro1(),ROUNDDOWN(I11-J11,-1))</f>
        <v>0</v>
      </c>
      <c r="L11" s="357">
        <f t="shared" ref="L11" si="23">IF(H11&gt;0,ROUNDDOWN(H11,-1),0)</f>
        <v>4500</v>
      </c>
      <c r="M11" s="360">
        <f t="shared" ref="M11" si="24">(D11-G11+J11)-(C11-F11)</f>
        <v>1000</v>
      </c>
      <c r="N11" s="300"/>
    </row>
    <row r="12" spans="1:15" ht="14.65" thickBot="1" x14ac:dyDescent="0.5">
      <c r="A12" s="179" t="s">
        <v>226</v>
      </c>
      <c r="B12" s="98"/>
      <c r="C12" s="42">
        <v>0</v>
      </c>
      <c r="D12" s="56">
        <v>0</v>
      </c>
      <c r="E12" s="55">
        <f>D12-C12</f>
        <v>0</v>
      </c>
      <c r="F12" s="42">
        <v>0</v>
      </c>
      <c r="G12" s="56">
        <v>0</v>
      </c>
      <c r="H12" s="57">
        <f>F12-G12</f>
        <v>0</v>
      </c>
      <c r="I12" s="691"/>
      <c r="J12" s="692"/>
      <c r="K12" s="692"/>
      <c r="L12" s="693"/>
      <c r="M12" s="366"/>
    </row>
    <row r="13" spans="1:15" ht="14.65" thickBot="1" x14ac:dyDescent="0.5">
      <c r="A13" s="180" t="s">
        <v>248</v>
      </c>
      <c r="B13" s="100">
        <v>1</v>
      </c>
      <c r="C13" s="42">
        <v>3000</v>
      </c>
      <c r="D13" s="56">
        <v>0</v>
      </c>
      <c r="E13" s="55">
        <f t="shared" si="0"/>
        <v>-3000</v>
      </c>
      <c r="F13" s="42">
        <v>4500</v>
      </c>
      <c r="G13" s="56">
        <v>0</v>
      </c>
      <c r="H13" s="57">
        <f t="shared" si="1"/>
        <v>4500</v>
      </c>
      <c r="I13" s="237">
        <v>0</v>
      </c>
      <c r="J13" s="119">
        <f t="shared" si="2"/>
        <v>0</v>
      </c>
      <c r="K13" s="219">
        <f>IF(OR(J13&gt;I13,H13+I13&lt;0),makro1(),ROUNDDOWN(I13-J13,-1))</f>
        <v>0</v>
      </c>
      <c r="L13" s="357">
        <f t="shared" si="3"/>
        <v>4500</v>
      </c>
      <c r="M13" s="361">
        <f t="shared" si="4"/>
        <v>1500</v>
      </c>
      <c r="N13" s="300"/>
    </row>
    <row r="14" spans="1:15" s="252" customFormat="1" ht="14.65" thickBot="1" x14ac:dyDescent="0.5">
      <c r="A14" s="672" t="s">
        <v>65</v>
      </c>
      <c r="B14" s="673"/>
      <c r="C14" s="44">
        <f t="shared" ref="C14:L14" si="25">SUM(C3:C13)</f>
        <v>20200</v>
      </c>
      <c r="D14" s="43">
        <f t="shared" si="25"/>
        <v>0</v>
      </c>
      <c r="E14" s="43">
        <f t="shared" si="25"/>
        <v>-20200</v>
      </c>
      <c r="F14" s="24">
        <f t="shared" si="25"/>
        <v>24150</v>
      </c>
      <c r="G14" s="43">
        <f t="shared" si="25"/>
        <v>0</v>
      </c>
      <c r="H14" s="24">
        <f t="shared" si="25"/>
        <v>24150</v>
      </c>
      <c r="I14" s="248">
        <f t="shared" si="25"/>
        <v>2070</v>
      </c>
      <c r="J14" s="249">
        <f t="shared" si="25"/>
        <v>0</v>
      </c>
      <c r="K14" s="250">
        <f t="shared" si="25"/>
        <v>2070</v>
      </c>
      <c r="L14" s="251">
        <f t="shared" si="25"/>
        <v>24150</v>
      </c>
      <c r="M14" s="362">
        <f>(D14-G14+J14)-(C14-F14)</f>
        <v>3950</v>
      </c>
    </row>
  </sheetData>
  <customSheetViews>
    <customSheetView guid="{DCE90488-5D47-411B-84E2-3F0A7D96BA08}">
      <selection activeCell="G8" sqref="G8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A14:B14"/>
    <mergeCell ref="I1:I2"/>
    <mergeCell ref="J1:J2"/>
    <mergeCell ref="K1:K2"/>
    <mergeCell ref="L1:L2"/>
    <mergeCell ref="A1:A2"/>
    <mergeCell ref="B1:B2"/>
    <mergeCell ref="C1:E1"/>
    <mergeCell ref="F1:H1"/>
    <mergeCell ref="I12:L12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M9"/>
  <sheetViews>
    <sheetView workbookViewId="0">
      <selection activeCell="I6" sqref="I6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9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x14ac:dyDescent="0.45">
      <c r="A3" s="175" t="s">
        <v>32</v>
      </c>
      <c r="B3" s="97">
        <v>1</v>
      </c>
      <c r="C3" s="9">
        <v>0</v>
      </c>
      <c r="D3" s="54">
        <v>0</v>
      </c>
      <c r="E3" s="55">
        <f t="shared" ref="E3:E8" si="0">D3-C3</f>
        <v>0</v>
      </c>
      <c r="F3" s="9">
        <v>450</v>
      </c>
      <c r="G3" s="54">
        <v>0</v>
      </c>
      <c r="H3" s="55">
        <f t="shared" ref="H3:H8" si="1">F3-G3</f>
        <v>450</v>
      </c>
      <c r="I3" s="237">
        <v>850</v>
      </c>
      <c r="J3" s="119">
        <f t="shared" ref="J3:J8" si="2">IF(H3&lt;0,IF(I3&gt;0,IF((H3*(-1))&gt;I3,I3,H3*(-1)),0),0)</f>
        <v>0</v>
      </c>
      <c r="K3" s="219">
        <f>IF(OR(J3&gt;I3,H3+I3&lt;0),makro1(),ROUNDDOWN(I3-J3,-1))</f>
        <v>850</v>
      </c>
      <c r="L3" s="357">
        <f>IF(H3&gt;0,ROUNDDOWN(H3,-1),0)</f>
        <v>450</v>
      </c>
      <c r="M3" s="359">
        <f>(D3-G3+J3)-(C3-F3)</f>
        <v>450</v>
      </c>
    </row>
    <row r="4" spans="1:13" x14ac:dyDescent="0.45">
      <c r="A4" s="176" t="s">
        <v>33</v>
      </c>
      <c r="B4" s="98">
        <v>2</v>
      </c>
      <c r="C4" s="12">
        <v>0</v>
      </c>
      <c r="D4" s="58">
        <v>0</v>
      </c>
      <c r="E4" s="55">
        <f t="shared" si="0"/>
        <v>0</v>
      </c>
      <c r="F4" s="12">
        <v>200</v>
      </c>
      <c r="G4" s="58">
        <v>0</v>
      </c>
      <c r="H4" s="59">
        <f t="shared" si="1"/>
        <v>200</v>
      </c>
      <c r="I4" s="237">
        <v>0</v>
      </c>
      <c r="J4" s="119">
        <f t="shared" si="2"/>
        <v>0</v>
      </c>
      <c r="K4" s="219">
        <f>IF(OR(J4&gt;I4,H4+I4&lt;0),makro1(),ROUNDDOWN(I4-J4,-1))</f>
        <v>0</v>
      </c>
      <c r="L4" s="357">
        <f t="shared" ref="L4:L8" si="3">IF(H4&gt;0,ROUNDDOWN(H4,-1),0)</f>
        <v>200</v>
      </c>
      <c r="M4" s="360">
        <f t="shared" ref="M4:M9" si="4">(D4-G4+J4)-(C4-F4)</f>
        <v>200</v>
      </c>
    </row>
    <row r="5" spans="1:13" x14ac:dyDescent="0.45">
      <c r="A5" s="178" t="s">
        <v>44</v>
      </c>
      <c r="B5" s="99"/>
      <c r="C5" s="9">
        <v>0</v>
      </c>
      <c r="D5" s="54">
        <v>0</v>
      </c>
      <c r="E5" s="55">
        <f t="shared" si="0"/>
        <v>0</v>
      </c>
      <c r="F5" s="9">
        <v>1000</v>
      </c>
      <c r="G5" s="54">
        <v>0</v>
      </c>
      <c r="H5" s="55">
        <f t="shared" si="1"/>
        <v>1000</v>
      </c>
      <c r="I5" s="243">
        <v>730</v>
      </c>
      <c r="J5" s="119">
        <f t="shared" si="2"/>
        <v>0</v>
      </c>
      <c r="K5" s="219">
        <f>IF(OR(J5&gt;I5,H5+I5&lt;0),makro1(),ROUNDDOWN(I5-J5,-1))</f>
        <v>730</v>
      </c>
      <c r="L5" s="358">
        <f t="shared" si="3"/>
        <v>1000</v>
      </c>
      <c r="M5" s="360">
        <f t="shared" si="4"/>
        <v>1000</v>
      </c>
    </row>
    <row r="6" spans="1:13" ht="14.65" thickBot="1" x14ac:dyDescent="0.5">
      <c r="A6" s="185" t="s">
        <v>95</v>
      </c>
      <c r="B6" s="102">
        <v>2</v>
      </c>
      <c r="C6" s="69">
        <v>0</v>
      </c>
      <c r="D6" s="70">
        <v>0</v>
      </c>
      <c r="E6" s="55">
        <f t="shared" si="0"/>
        <v>0</v>
      </c>
      <c r="F6" s="69">
        <v>250</v>
      </c>
      <c r="G6" s="70">
        <v>0</v>
      </c>
      <c r="H6" s="55">
        <f t="shared" si="1"/>
        <v>250</v>
      </c>
      <c r="I6" s="237">
        <v>250</v>
      </c>
      <c r="J6" s="119">
        <f t="shared" si="2"/>
        <v>0</v>
      </c>
      <c r="K6" s="219">
        <f>IF(OR(J6&gt;I6,H6+I6&lt;0),makro1(),ROUNDDOWN(I6-J6,-1))</f>
        <v>250</v>
      </c>
      <c r="L6" s="357">
        <f t="shared" si="3"/>
        <v>250</v>
      </c>
      <c r="M6" s="360">
        <f t="shared" si="4"/>
        <v>250</v>
      </c>
    </row>
    <row r="7" spans="1:13" ht="14.65" thickBot="1" x14ac:dyDescent="0.5">
      <c r="A7" s="179" t="s">
        <v>226</v>
      </c>
      <c r="B7" s="98"/>
      <c r="C7" s="42">
        <v>0</v>
      </c>
      <c r="D7" s="56">
        <v>0</v>
      </c>
      <c r="E7" s="55">
        <f t="shared" si="0"/>
        <v>0</v>
      </c>
      <c r="F7" s="42">
        <v>0</v>
      </c>
      <c r="G7" s="56">
        <v>0</v>
      </c>
      <c r="H7" s="57">
        <f t="shared" si="1"/>
        <v>0</v>
      </c>
      <c r="I7" s="418"/>
      <c r="J7" s="419"/>
      <c r="K7" s="419"/>
      <c r="L7" s="420"/>
      <c r="M7" s="366"/>
    </row>
    <row r="8" spans="1:13" ht="14.65" thickBot="1" x14ac:dyDescent="0.5">
      <c r="A8" s="186" t="s">
        <v>249</v>
      </c>
      <c r="B8" s="100"/>
      <c r="C8" s="42">
        <v>2000</v>
      </c>
      <c r="D8" s="56">
        <v>0</v>
      </c>
      <c r="E8" s="55">
        <f t="shared" si="0"/>
        <v>-2000</v>
      </c>
      <c r="F8" s="42">
        <v>2500</v>
      </c>
      <c r="G8" s="56">
        <v>0</v>
      </c>
      <c r="H8" s="57">
        <f t="shared" si="1"/>
        <v>2500</v>
      </c>
      <c r="I8" s="237">
        <v>1500</v>
      </c>
      <c r="J8" s="119">
        <f t="shared" si="2"/>
        <v>0</v>
      </c>
      <c r="K8" s="219">
        <f>IF(OR(J8&gt;I8,H8+I8&lt;0),makro1(),ROUNDDOWN(I8-J8,-1))</f>
        <v>1500</v>
      </c>
      <c r="L8" s="357">
        <f t="shared" si="3"/>
        <v>2500</v>
      </c>
      <c r="M8" s="360">
        <f t="shared" si="4"/>
        <v>500</v>
      </c>
    </row>
    <row r="9" spans="1:13" s="252" customFormat="1" ht="14.65" thickBot="1" x14ac:dyDescent="0.5">
      <c r="A9" s="672" t="s">
        <v>65</v>
      </c>
      <c r="B9" s="673"/>
      <c r="C9" s="44">
        <f t="shared" ref="C9:L9" si="5">SUM(C3:C8)</f>
        <v>2000</v>
      </c>
      <c r="D9" s="43">
        <f t="shared" si="5"/>
        <v>0</v>
      </c>
      <c r="E9" s="43">
        <f t="shared" si="5"/>
        <v>-2000</v>
      </c>
      <c r="F9" s="24">
        <f t="shared" si="5"/>
        <v>4400</v>
      </c>
      <c r="G9" s="43">
        <f t="shared" si="5"/>
        <v>0</v>
      </c>
      <c r="H9" s="24">
        <f t="shared" si="5"/>
        <v>4400</v>
      </c>
      <c r="I9" s="248">
        <f t="shared" si="5"/>
        <v>3330</v>
      </c>
      <c r="J9" s="249">
        <f t="shared" si="5"/>
        <v>0</v>
      </c>
      <c r="K9" s="250">
        <f t="shared" si="5"/>
        <v>3330</v>
      </c>
      <c r="L9" s="364">
        <f t="shared" si="5"/>
        <v>4400</v>
      </c>
      <c r="M9" s="363">
        <f t="shared" si="4"/>
        <v>2400</v>
      </c>
    </row>
  </sheetData>
  <customSheetViews>
    <customSheetView guid="{DCE90488-5D47-411B-84E2-3F0A7D96BA08}">
      <selection activeCell="D37" sqref="D37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A9:B9"/>
    <mergeCell ref="I1:I2"/>
    <mergeCell ref="J1:J2"/>
    <mergeCell ref="K1:K2"/>
    <mergeCell ref="L1:L2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6"/>
  <sheetViews>
    <sheetView workbookViewId="0">
      <selection activeCell="A5" sqref="A5:XFD5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10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399999999999999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ht="14.65" thickBot="1" x14ac:dyDescent="0.5">
      <c r="A3" s="175" t="s">
        <v>244</v>
      </c>
      <c r="B3" s="97">
        <v>2</v>
      </c>
      <c r="C3" s="9">
        <v>0</v>
      </c>
      <c r="D3" s="54">
        <v>0</v>
      </c>
      <c r="E3" s="55">
        <f>D3-C3</f>
        <v>0</v>
      </c>
      <c r="F3" s="9">
        <v>500</v>
      </c>
      <c r="G3" s="54">
        <v>0</v>
      </c>
      <c r="H3" s="55">
        <f>F3-G3</f>
        <v>500</v>
      </c>
      <c r="I3" s="237">
        <v>0</v>
      </c>
      <c r="J3" s="119">
        <f t="shared" ref="J3" si="0">IF(H3&lt;0,IF(I3&gt;0,IF((H3*(-1))&gt;I3,I3,H3*(-1)),0),0)</f>
        <v>0</v>
      </c>
      <c r="K3" s="219">
        <f>IF(OR(J3&gt;I3,H3+I3&lt;0),makro1(),ROUNDDOWN(I3-J3,-1))</f>
        <v>0</v>
      </c>
      <c r="L3" s="357">
        <f>IF(H3&gt;0,ROUNDDOWN(H3,-1),0)</f>
        <v>500</v>
      </c>
      <c r="M3" s="359">
        <f>(D3-G3+J3)-(C3-F3)</f>
        <v>500</v>
      </c>
    </row>
    <row r="4" spans="1:13" ht="14.65" thickBot="1" x14ac:dyDescent="0.5">
      <c r="A4" s="180" t="s">
        <v>246</v>
      </c>
      <c r="B4" s="97">
        <v>1</v>
      </c>
      <c r="C4" s="9">
        <v>0</v>
      </c>
      <c r="D4" s="54">
        <v>0</v>
      </c>
      <c r="E4" s="55">
        <f>D4-C4</f>
        <v>0</v>
      </c>
      <c r="F4" s="9">
        <v>2000</v>
      </c>
      <c r="G4" s="54">
        <v>0</v>
      </c>
      <c r="H4" s="55">
        <f>F4-G4</f>
        <v>2000</v>
      </c>
      <c r="I4" s="237">
        <v>2190</v>
      </c>
      <c r="J4" s="119">
        <f t="shared" ref="J4" si="1">IF(H4&lt;0,IF(I4&gt;0,IF((H4*(-1))&gt;I4,I4,H4*(-1)),0),0)</f>
        <v>0</v>
      </c>
      <c r="K4" s="219">
        <f>IF(OR(J4&gt;I4,H4+I4&lt;0),makro1(),ROUNDDOWN(I4-J4,-1))</f>
        <v>2190</v>
      </c>
      <c r="L4" s="357">
        <f>IF(H4&gt;0,ROUNDDOWN(H4,-1),0)</f>
        <v>2000</v>
      </c>
      <c r="M4" s="359">
        <f>(D4-G4+J4)-(C4-F4)</f>
        <v>2000</v>
      </c>
    </row>
    <row r="5" spans="1:13" ht="14.65" thickBot="1" x14ac:dyDescent="0.5">
      <c r="A5" s="186" t="s">
        <v>226</v>
      </c>
      <c r="B5" s="101"/>
      <c r="C5" s="42">
        <v>0</v>
      </c>
      <c r="D5" s="56">
        <v>0</v>
      </c>
      <c r="E5" s="55">
        <f>D5-C5</f>
        <v>0</v>
      </c>
      <c r="F5" s="42">
        <v>250</v>
      </c>
      <c r="G5" s="56">
        <v>0</v>
      </c>
      <c r="H5" s="57">
        <f>F5-G5</f>
        <v>250</v>
      </c>
      <c r="I5" s="691"/>
      <c r="J5" s="692"/>
      <c r="K5" s="692"/>
      <c r="L5" s="693"/>
      <c r="M5" s="366"/>
    </row>
    <row r="6" spans="1:13" s="252" customFormat="1" ht="14.65" thickBot="1" x14ac:dyDescent="0.5">
      <c r="A6" s="672" t="s">
        <v>65</v>
      </c>
      <c r="B6" s="673"/>
      <c r="C6" s="44">
        <f>SUM(C3:C5)</f>
        <v>0</v>
      </c>
      <c r="D6" s="44">
        <f t="shared" ref="D6:M6" si="2">SUM(D3:D5)</f>
        <v>0</v>
      </c>
      <c r="E6" s="44">
        <f t="shared" si="2"/>
        <v>0</v>
      </c>
      <c r="F6" s="44">
        <f t="shared" si="2"/>
        <v>2750</v>
      </c>
      <c r="G6" s="44">
        <f t="shared" si="2"/>
        <v>0</v>
      </c>
      <c r="H6" s="44">
        <f t="shared" si="2"/>
        <v>2750</v>
      </c>
      <c r="I6" s="44">
        <f t="shared" si="2"/>
        <v>2190</v>
      </c>
      <c r="J6" s="44">
        <f t="shared" si="2"/>
        <v>0</v>
      </c>
      <c r="K6" s="44">
        <f t="shared" si="2"/>
        <v>2190</v>
      </c>
      <c r="L6" s="44">
        <f t="shared" si="2"/>
        <v>2500</v>
      </c>
      <c r="M6" s="44">
        <f t="shared" si="2"/>
        <v>2500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A6:B6"/>
    <mergeCell ref="I1:I2"/>
    <mergeCell ref="J1:J2"/>
    <mergeCell ref="K1:K2"/>
    <mergeCell ref="L1:L2"/>
    <mergeCell ref="A1:A2"/>
    <mergeCell ref="B1:B2"/>
    <mergeCell ref="C1:E1"/>
    <mergeCell ref="F1:H1"/>
    <mergeCell ref="I5:L5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M7"/>
  <sheetViews>
    <sheetView workbookViewId="0">
      <selection activeCell="F7" sqref="F7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11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x14ac:dyDescent="0.45">
      <c r="A3" s="181" t="s">
        <v>92</v>
      </c>
      <c r="B3" s="97"/>
      <c r="C3" s="9">
        <v>0</v>
      </c>
      <c r="D3" s="54">
        <v>0</v>
      </c>
      <c r="E3" s="55">
        <f>D3-C3</f>
        <v>0</v>
      </c>
      <c r="F3" s="9">
        <v>200</v>
      </c>
      <c r="G3" s="54">
        <v>0</v>
      </c>
      <c r="H3" s="91">
        <f>F3-G3</f>
        <v>200</v>
      </c>
      <c r="I3" s="265">
        <v>0</v>
      </c>
      <c r="J3" s="119">
        <f t="shared" ref="J3:J5" si="0">IF(H3&lt;0,IF(I3&gt;0,IF((H3*(-1))&gt;I3,I3,H3*(-1)),0),0)</f>
        <v>0</v>
      </c>
      <c r="K3" s="267">
        <f>IF(OR(J3&gt;I3,H3+I3&lt;0),makro1(),ROUNDDOWN(I3-J3,-1))</f>
        <v>0</v>
      </c>
      <c r="L3" s="367">
        <f>IF(H3&gt;0,ROUNDDOWN(H3,-1),0)</f>
        <v>200</v>
      </c>
      <c r="M3" s="359">
        <f>(D3-G3+J3)-(C3-F3)</f>
        <v>200</v>
      </c>
    </row>
    <row r="4" spans="1:13" x14ac:dyDescent="0.45">
      <c r="A4" s="264" t="s">
        <v>229</v>
      </c>
      <c r="B4" s="98"/>
      <c r="C4" s="12">
        <v>0</v>
      </c>
      <c r="D4" s="58">
        <v>0</v>
      </c>
      <c r="E4" s="59">
        <f t="shared" ref="E4" si="1">D4-C4</f>
        <v>0</v>
      </c>
      <c r="F4" s="12">
        <v>100</v>
      </c>
      <c r="G4" s="58">
        <v>0</v>
      </c>
      <c r="H4" s="91">
        <f t="shared" ref="H4" si="2">F4-G4</f>
        <v>100</v>
      </c>
      <c r="I4" s="269">
        <v>200</v>
      </c>
      <c r="J4" s="119">
        <f t="shared" ref="J4" si="3">IF(H4&lt;0,IF(I4&gt;0,IF((H4*(-1))&gt;I4,I4,H4*(-1)),0),0)</f>
        <v>0</v>
      </c>
      <c r="K4" s="296">
        <f>IF(OR(J4&gt;I4,H4+I4&lt;0),makro1(),ROUNDDOWN(I4-J4,-1))</f>
        <v>200</v>
      </c>
      <c r="L4" s="368">
        <f>IF(H4&gt;0,ROUNDDOWN(H4,-1),0)</f>
        <v>100</v>
      </c>
      <c r="M4" s="360">
        <f t="shared" ref="M4" si="4">(D4-G4+J4)-(C4-F4)</f>
        <v>100</v>
      </c>
    </row>
    <row r="5" spans="1:13" x14ac:dyDescent="0.45">
      <c r="A5" s="264" t="s">
        <v>228</v>
      </c>
      <c r="B5" s="102">
        <v>2</v>
      </c>
      <c r="C5" s="69">
        <v>0</v>
      </c>
      <c r="D5" s="70">
        <v>0</v>
      </c>
      <c r="E5" s="55">
        <f t="shared" ref="E5:E6" si="5">D5-C5</f>
        <v>0</v>
      </c>
      <c r="F5" s="69">
        <v>150</v>
      </c>
      <c r="G5" s="70">
        <v>0</v>
      </c>
      <c r="H5" s="91">
        <f t="shared" ref="H5:H6" si="6">F5-G5</f>
        <v>150</v>
      </c>
      <c r="I5" s="269">
        <v>820</v>
      </c>
      <c r="J5" s="119">
        <f t="shared" si="0"/>
        <v>0</v>
      </c>
      <c r="K5" s="296">
        <f>IF(OR(J5&gt;I5,H5+I5&lt;0),makro1(),ROUNDDOWN(I5-J5,-1))</f>
        <v>820</v>
      </c>
      <c r="L5" s="368">
        <f>IF(H5&gt;0,ROUNDDOWN(H5,-1),0)</f>
        <v>150</v>
      </c>
      <c r="M5" s="360">
        <f t="shared" ref="M5:M7" si="7">(D5-G5+J5)-(C5-F5)</f>
        <v>150</v>
      </c>
    </row>
    <row r="6" spans="1:13" ht="14.65" thickBot="1" x14ac:dyDescent="0.5">
      <c r="A6" s="180" t="s">
        <v>226</v>
      </c>
      <c r="B6" s="101"/>
      <c r="C6" s="42">
        <v>0</v>
      </c>
      <c r="D6" s="56">
        <v>0</v>
      </c>
      <c r="E6" s="55">
        <f t="shared" si="5"/>
        <v>0</v>
      </c>
      <c r="F6" s="42">
        <v>200</v>
      </c>
      <c r="G6" s="56">
        <v>0</v>
      </c>
      <c r="H6" s="91">
        <f t="shared" si="6"/>
        <v>200</v>
      </c>
      <c r="I6" s="694"/>
      <c r="J6" s="695"/>
      <c r="K6" s="695"/>
      <c r="L6" s="695"/>
      <c r="M6" s="369"/>
    </row>
    <row r="7" spans="1:13" s="252" customFormat="1" ht="14.65" thickBot="1" x14ac:dyDescent="0.5">
      <c r="A7" s="672" t="s">
        <v>65</v>
      </c>
      <c r="B7" s="673"/>
      <c r="C7" s="44">
        <f t="shared" ref="C7:L7" si="8">SUM(C3:C6)</f>
        <v>0</v>
      </c>
      <c r="D7" s="43">
        <f t="shared" si="8"/>
        <v>0</v>
      </c>
      <c r="E7" s="43">
        <f t="shared" si="8"/>
        <v>0</v>
      </c>
      <c r="F7" s="24">
        <f t="shared" si="8"/>
        <v>650</v>
      </c>
      <c r="G7" s="43">
        <f t="shared" si="8"/>
        <v>0</v>
      </c>
      <c r="H7" s="95">
        <f t="shared" si="8"/>
        <v>650</v>
      </c>
      <c r="I7" s="248">
        <f t="shared" si="8"/>
        <v>1020</v>
      </c>
      <c r="J7" s="249">
        <f t="shared" si="8"/>
        <v>0</v>
      </c>
      <c r="K7" s="250">
        <f t="shared" si="8"/>
        <v>1020</v>
      </c>
      <c r="L7" s="364">
        <f t="shared" si="8"/>
        <v>450</v>
      </c>
      <c r="M7" s="362">
        <f t="shared" si="7"/>
        <v>650</v>
      </c>
    </row>
  </sheetData>
  <customSheetViews>
    <customSheetView guid="{DCE90488-5D47-411B-84E2-3F0A7D96BA08}">
      <selection activeCell="G5" sqref="G5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A7:B7"/>
    <mergeCell ref="I1:I2"/>
    <mergeCell ref="J1:J2"/>
    <mergeCell ref="K1:K2"/>
    <mergeCell ref="L1:L2"/>
    <mergeCell ref="A1:A2"/>
    <mergeCell ref="B1:B2"/>
    <mergeCell ref="C1:E1"/>
    <mergeCell ref="F1:H1"/>
    <mergeCell ref="I6:L6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M9"/>
  <sheetViews>
    <sheetView workbookViewId="0">
      <selection activeCell="E19" sqref="E19"/>
    </sheetView>
  </sheetViews>
  <sheetFormatPr baseColWidth="10" defaultRowHeight="14.25" x14ac:dyDescent="0.45"/>
  <cols>
    <col min="1" max="1" width="40.53125" bestFit="1" customWidth="1"/>
    <col min="4" max="4" width="12.265625" bestFit="1" customWidth="1"/>
    <col min="5" max="5" width="11.53125" bestFit="1" customWidth="1"/>
    <col min="7" max="7" width="11.265625" bestFit="1" customWidth="1"/>
  </cols>
  <sheetData>
    <row r="1" spans="1:13" ht="18.7" customHeight="1" x14ac:dyDescent="0.45">
      <c r="A1" s="640" t="s">
        <v>12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ht="15" customHeight="1" x14ac:dyDescent="0.45">
      <c r="A3" s="175" t="s">
        <v>47</v>
      </c>
      <c r="B3" s="97"/>
      <c r="C3" s="9">
        <v>0</v>
      </c>
      <c r="D3" s="54">
        <v>0</v>
      </c>
      <c r="E3" s="55">
        <f t="shared" ref="E3:E8" si="0">D3-C3</f>
        <v>0</v>
      </c>
      <c r="F3" s="9">
        <v>500</v>
      </c>
      <c r="G3" s="54">
        <v>0</v>
      </c>
      <c r="H3" s="55">
        <f t="shared" ref="H3:H8" si="1">F3-G3</f>
        <v>500</v>
      </c>
      <c r="I3" s="237">
        <v>740</v>
      </c>
      <c r="J3" s="119">
        <f t="shared" ref="J3:J8" si="2">IF(H3&lt;0,IF(I3&gt;0,IF((H3*(-1))&gt;I3,I3,H3*(-1)),0),0)</f>
        <v>0</v>
      </c>
      <c r="K3" s="219">
        <f>IF(OR(J3&gt;I3,H3+I3&lt;0),makro1(),ROUNDDOWN(I3-J3,-1))</f>
        <v>740</v>
      </c>
      <c r="L3" s="357">
        <f>IF(H3&gt;0,ROUNDDOWN(H3,-1),0)</f>
        <v>500</v>
      </c>
      <c r="M3" s="359">
        <f>(D3-G3+J3)-(C3-F3)</f>
        <v>500</v>
      </c>
    </row>
    <row r="4" spans="1:13" ht="15" customHeight="1" x14ac:dyDescent="0.45">
      <c r="A4" s="176" t="s">
        <v>50</v>
      </c>
      <c r="B4" s="98">
        <v>1</v>
      </c>
      <c r="C4" s="12">
        <v>0</v>
      </c>
      <c r="D4" s="58">
        <v>0</v>
      </c>
      <c r="E4" s="55">
        <f t="shared" si="0"/>
        <v>0</v>
      </c>
      <c r="F4" s="12">
        <v>100</v>
      </c>
      <c r="G4" s="58">
        <v>0</v>
      </c>
      <c r="H4" s="59">
        <f t="shared" si="1"/>
        <v>100</v>
      </c>
      <c r="I4" s="237">
        <v>300</v>
      </c>
      <c r="J4" s="119">
        <f t="shared" si="2"/>
        <v>0</v>
      </c>
      <c r="K4" s="219">
        <f>IF(OR(J4&gt;I4,H4+I4&lt;0),makro1(),ROUNDDOWN(I4-J4,-1))</f>
        <v>300</v>
      </c>
      <c r="L4" s="357">
        <f t="shared" ref="L4:L6" si="3">IF(H4&gt;0,ROUNDDOWN(H4,-1),0)</f>
        <v>100</v>
      </c>
      <c r="M4" s="360">
        <f t="shared" ref="M4:M9" si="4">(D4-G4+J4)-(C4-F4)</f>
        <v>100</v>
      </c>
    </row>
    <row r="5" spans="1:13" x14ac:dyDescent="0.45">
      <c r="A5" s="176" t="s">
        <v>43</v>
      </c>
      <c r="B5" s="98">
        <v>1</v>
      </c>
      <c r="C5" s="12">
        <v>0</v>
      </c>
      <c r="D5" s="58">
        <v>0</v>
      </c>
      <c r="E5" s="55">
        <f t="shared" si="0"/>
        <v>0</v>
      </c>
      <c r="F5" s="12">
        <v>0</v>
      </c>
      <c r="G5" s="58">
        <v>0</v>
      </c>
      <c r="H5" s="59">
        <f t="shared" si="1"/>
        <v>0</v>
      </c>
      <c r="I5" s="243">
        <v>0</v>
      </c>
      <c r="J5" s="119">
        <f t="shared" si="2"/>
        <v>0</v>
      </c>
      <c r="K5" s="219">
        <f>IF(OR(J5&gt;I5,H5+I5&lt;0),makro1(),ROUNDDOWN(I5-J5,-1))</f>
        <v>0</v>
      </c>
      <c r="L5" s="358">
        <f t="shared" si="3"/>
        <v>0</v>
      </c>
      <c r="M5" s="360">
        <f t="shared" si="4"/>
        <v>0</v>
      </c>
    </row>
    <row r="6" spans="1:13" x14ac:dyDescent="0.45">
      <c r="A6" s="178" t="s">
        <v>34</v>
      </c>
      <c r="B6" s="99">
        <v>1</v>
      </c>
      <c r="C6" s="9">
        <v>0</v>
      </c>
      <c r="D6" s="54">
        <v>0</v>
      </c>
      <c r="E6" s="55">
        <f t="shared" si="0"/>
        <v>0</v>
      </c>
      <c r="F6" s="9">
        <v>0</v>
      </c>
      <c r="G6" s="54">
        <v>0</v>
      </c>
      <c r="H6" s="55">
        <f t="shared" si="1"/>
        <v>0</v>
      </c>
      <c r="I6" s="237">
        <v>0</v>
      </c>
      <c r="J6" s="119">
        <f t="shared" si="2"/>
        <v>0</v>
      </c>
      <c r="K6" s="219">
        <f>IF(OR(J6&gt;I6,H6+I6&lt;0),makro1(),ROUNDDOWN(I6-J6,-1))</f>
        <v>0</v>
      </c>
      <c r="L6" s="357">
        <f t="shared" si="3"/>
        <v>0</v>
      </c>
      <c r="M6" s="360">
        <f t="shared" si="4"/>
        <v>0</v>
      </c>
    </row>
    <row r="7" spans="1:13" x14ac:dyDescent="0.45">
      <c r="A7" s="179" t="s">
        <v>35</v>
      </c>
      <c r="B7" s="98">
        <v>1</v>
      </c>
      <c r="C7" s="42">
        <v>0</v>
      </c>
      <c r="D7" s="56">
        <v>0</v>
      </c>
      <c r="E7" s="55">
        <f t="shared" si="0"/>
        <v>0</v>
      </c>
      <c r="F7" s="42">
        <v>150</v>
      </c>
      <c r="G7" s="56">
        <v>0</v>
      </c>
      <c r="H7" s="57">
        <f t="shared" si="1"/>
        <v>150</v>
      </c>
      <c r="I7" s="243">
        <v>150</v>
      </c>
      <c r="J7" s="119">
        <f t="shared" si="2"/>
        <v>0</v>
      </c>
      <c r="K7" s="219">
        <f>IF(OR(J7&gt;I7,H7+I7&lt;0),makro1(),ROUNDDOWN(I7-J7,-1))</f>
        <v>150</v>
      </c>
      <c r="L7" s="358">
        <f t="shared" ref="L7:L8" si="5">IF(H7&gt;0,ROUNDDOWN(H7,-1),0)</f>
        <v>150</v>
      </c>
      <c r="M7" s="360">
        <f t="shared" si="4"/>
        <v>150</v>
      </c>
    </row>
    <row r="8" spans="1:13" ht="14.65" thickBot="1" x14ac:dyDescent="0.5">
      <c r="A8" s="180" t="s">
        <v>226</v>
      </c>
      <c r="B8" s="100"/>
      <c r="C8" s="42">
        <v>0</v>
      </c>
      <c r="D8" s="56">
        <v>0</v>
      </c>
      <c r="E8" s="55">
        <f t="shared" si="0"/>
        <v>0</v>
      </c>
      <c r="F8" s="42">
        <v>0</v>
      </c>
      <c r="G8" s="56">
        <v>0</v>
      </c>
      <c r="H8" s="57">
        <f t="shared" si="1"/>
        <v>0</v>
      </c>
      <c r="I8" s="237">
        <v>0</v>
      </c>
      <c r="J8" s="119">
        <f t="shared" si="2"/>
        <v>0</v>
      </c>
      <c r="K8" s="219">
        <f>IF(OR(J8&gt;I8,H8+I8&lt;0),makro1(),ROUNDDOWN(I8-J8,-1))</f>
        <v>0</v>
      </c>
      <c r="L8" s="357">
        <f t="shared" si="5"/>
        <v>0</v>
      </c>
      <c r="M8" s="361">
        <f t="shared" si="4"/>
        <v>0</v>
      </c>
    </row>
    <row r="9" spans="1:13" s="252" customFormat="1" ht="14.65" thickBot="1" x14ac:dyDescent="0.5">
      <c r="A9" s="672" t="s">
        <v>65</v>
      </c>
      <c r="B9" s="673"/>
      <c r="C9" s="44">
        <f t="shared" ref="C9:H9" si="6">SUM(C3:C8)</f>
        <v>0</v>
      </c>
      <c r="D9" s="43">
        <f t="shared" si="6"/>
        <v>0</v>
      </c>
      <c r="E9" s="43">
        <f t="shared" si="6"/>
        <v>0</v>
      </c>
      <c r="F9" s="24">
        <f t="shared" si="6"/>
        <v>750</v>
      </c>
      <c r="G9" s="43">
        <f t="shared" si="6"/>
        <v>0</v>
      </c>
      <c r="H9" s="24">
        <f t="shared" si="6"/>
        <v>750</v>
      </c>
      <c r="I9" s="248">
        <f>SUM(I3:I8)</f>
        <v>1190</v>
      </c>
      <c r="J9" s="249">
        <f>SUM(J3:J8)</f>
        <v>0</v>
      </c>
      <c r="K9" s="250">
        <f>SUM(K3:K8)</f>
        <v>1190</v>
      </c>
      <c r="L9" s="364">
        <f>SUM(L3:L8)</f>
        <v>750</v>
      </c>
      <c r="M9" s="363">
        <f t="shared" si="4"/>
        <v>750</v>
      </c>
    </row>
  </sheetData>
  <customSheetViews>
    <customSheetView guid="{DCE90488-5D47-411B-84E2-3F0A7D96BA08}">
      <selection activeCell="G9" sqref="G9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9:B9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M6"/>
  <sheetViews>
    <sheetView workbookViewId="0">
      <selection activeCell="F5" sqref="F5"/>
    </sheetView>
  </sheetViews>
  <sheetFormatPr baseColWidth="10" defaultRowHeight="14.25" x14ac:dyDescent="0.45"/>
  <cols>
    <col min="1" max="1" width="44.265625" bestFit="1" customWidth="1"/>
    <col min="2" max="2" width="8" bestFit="1" customWidth="1"/>
    <col min="4" max="5" width="11" customWidth="1"/>
    <col min="7" max="8" width="11" customWidth="1"/>
  </cols>
  <sheetData>
    <row r="1" spans="1:13" ht="18.7" customHeight="1" x14ac:dyDescent="0.45">
      <c r="A1" s="640" t="s">
        <v>13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x14ac:dyDescent="0.45">
      <c r="A3" s="178" t="s">
        <v>48</v>
      </c>
      <c r="B3" s="99"/>
      <c r="C3" s="9">
        <v>0</v>
      </c>
      <c r="D3" s="54">
        <v>0</v>
      </c>
      <c r="E3" s="55">
        <f>D3-C3</f>
        <v>0</v>
      </c>
      <c r="F3" s="9">
        <v>0</v>
      </c>
      <c r="G3" s="54">
        <v>0</v>
      </c>
      <c r="H3" s="55">
        <f>F3-G3</f>
        <v>0</v>
      </c>
      <c r="I3" s="237">
        <v>0</v>
      </c>
      <c r="J3" s="119">
        <f t="shared" ref="J3:J4" si="0">IF(H3&lt;0,IF(I3&gt;0,IF((H3*(-1))&gt;I3,I3,H3*(-1)),0),0)</f>
        <v>0</v>
      </c>
      <c r="K3" s="219">
        <f>IF(OR(J3&gt;I3,H3+I3&lt;0),makro1(),ROUNDDOWN(I3-J3,-1))</f>
        <v>0</v>
      </c>
      <c r="L3" s="231">
        <f>IF(H3&gt;0,ROUNDDOWN(H3,-1),0)</f>
        <v>0</v>
      </c>
      <c r="M3" s="359">
        <f>(D3-G3+J3)-(C3-F3)</f>
        <v>0</v>
      </c>
    </row>
    <row r="4" spans="1:13" x14ac:dyDescent="0.45">
      <c r="A4" s="179" t="s">
        <v>49</v>
      </c>
      <c r="B4" s="98"/>
      <c r="C4" s="42">
        <v>0</v>
      </c>
      <c r="D4" s="56">
        <v>0</v>
      </c>
      <c r="E4" s="55">
        <f>D4-C4</f>
        <v>0</v>
      </c>
      <c r="F4" s="42">
        <v>0</v>
      </c>
      <c r="G4" s="56">
        <v>0</v>
      </c>
      <c r="H4" s="57">
        <f>F4-G4</f>
        <v>0</v>
      </c>
      <c r="I4" s="237">
        <v>0</v>
      </c>
      <c r="J4" s="119">
        <f t="shared" si="0"/>
        <v>0</v>
      </c>
      <c r="K4" s="219">
        <f>IF(OR(J4&gt;I4,H4+I4&lt;0),makro1(),ROUNDDOWN(I4-J4,-1))</f>
        <v>0</v>
      </c>
      <c r="L4" s="231">
        <f>IF(H4&gt;0,ROUNDDOWN(H4,-1),0)</f>
        <v>0</v>
      </c>
      <c r="M4" s="360">
        <f t="shared" ref="M4:M6" si="1">(D4-G4+J4)-(C4-F4)</f>
        <v>0</v>
      </c>
    </row>
    <row r="5" spans="1:13" ht="14.65" thickBot="1" x14ac:dyDescent="0.5">
      <c r="A5" s="180" t="s">
        <v>226</v>
      </c>
      <c r="B5" s="100"/>
      <c r="C5" s="42">
        <v>0</v>
      </c>
      <c r="D5" s="56">
        <v>0</v>
      </c>
      <c r="E5" s="55">
        <f>D5-C5</f>
        <v>0</v>
      </c>
      <c r="F5" s="42">
        <v>200</v>
      </c>
      <c r="G5" s="56">
        <v>0</v>
      </c>
      <c r="H5" s="57">
        <f>F5-G5</f>
        <v>200</v>
      </c>
      <c r="I5" s="694"/>
      <c r="J5" s="695"/>
      <c r="K5" s="695"/>
      <c r="L5" s="696"/>
      <c r="M5" s="369"/>
    </row>
    <row r="6" spans="1:13" s="252" customFormat="1" ht="14.65" thickBot="1" x14ac:dyDescent="0.5">
      <c r="A6" s="672" t="s">
        <v>65</v>
      </c>
      <c r="B6" s="673"/>
      <c r="C6" s="44">
        <f t="shared" ref="C6:H6" si="2">SUM(C3:C5)</f>
        <v>0</v>
      </c>
      <c r="D6" s="43">
        <f t="shared" si="2"/>
        <v>0</v>
      </c>
      <c r="E6" s="43">
        <f t="shared" si="2"/>
        <v>0</v>
      </c>
      <c r="F6" s="24">
        <f t="shared" si="2"/>
        <v>200</v>
      </c>
      <c r="G6" s="43">
        <f t="shared" si="2"/>
        <v>0</v>
      </c>
      <c r="H6" s="24">
        <f t="shared" si="2"/>
        <v>200</v>
      </c>
      <c r="I6" s="248">
        <f>SUM(I3:I4)</f>
        <v>0</v>
      </c>
      <c r="J6" s="249">
        <f>SUM(J3:J4)</f>
        <v>0</v>
      </c>
      <c r="K6" s="250">
        <f>SUM(K3:K4)</f>
        <v>0</v>
      </c>
      <c r="L6" s="251">
        <f>SUM(L3:L4)</f>
        <v>0</v>
      </c>
      <c r="M6" s="363">
        <f t="shared" si="1"/>
        <v>200</v>
      </c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1">
    <mergeCell ref="M1:M2"/>
    <mergeCell ref="I1:I2"/>
    <mergeCell ref="J1:J2"/>
    <mergeCell ref="K1:K2"/>
    <mergeCell ref="L1:L2"/>
    <mergeCell ref="I5:L5"/>
    <mergeCell ref="A6:B6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M16"/>
  <sheetViews>
    <sheetView workbookViewId="0">
      <selection activeCell="I16" sqref="I16"/>
    </sheetView>
  </sheetViews>
  <sheetFormatPr baseColWidth="10" defaultRowHeight="14.25" x14ac:dyDescent="0.45"/>
  <cols>
    <col min="1" max="1" width="38" bestFit="1" customWidth="1"/>
    <col min="2" max="2" width="8" bestFit="1" customWidth="1"/>
    <col min="3" max="10" width="11" customWidth="1"/>
    <col min="11" max="12" width="11.06640625" customWidth="1"/>
    <col min="13" max="13" width="11.73046875" customWidth="1"/>
  </cols>
  <sheetData>
    <row r="1" spans="1:13" ht="18.7" customHeight="1" x14ac:dyDescent="0.45">
      <c r="A1" s="640" t="s">
        <v>25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67"/>
      <c r="I1" s="683" t="s">
        <v>155</v>
      </c>
      <c r="J1" s="685" t="s">
        <v>115</v>
      </c>
      <c r="K1" s="687" t="s">
        <v>119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34" t="s">
        <v>66</v>
      </c>
      <c r="I2" s="684"/>
      <c r="J2" s="686"/>
      <c r="K2" s="688"/>
      <c r="L2" s="682"/>
      <c r="M2" s="680"/>
    </row>
    <row r="3" spans="1:13" x14ac:dyDescent="0.45">
      <c r="A3" s="175" t="s">
        <v>27</v>
      </c>
      <c r="B3" s="97"/>
      <c r="C3" s="9">
        <v>0</v>
      </c>
      <c r="D3" s="54">
        <v>0</v>
      </c>
      <c r="E3" s="55">
        <f>D3-C3</f>
        <v>0</v>
      </c>
      <c r="F3" s="9">
        <v>100</v>
      </c>
      <c r="G3" s="54">
        <v>0</v>
      </c>
      <c r="H3" s="55">
        <f>F3-G3</f>
        <v>100</v>
      </c>
      <c r="I3" s="237">
        <v>100</v>
      </c>
      <c r="J3" s="119">
        <f t="shared" ref="J3:J15" si="0">IF(H3&lt;0,IF(I3&gt;0,IF((H3*(-1))&gt;I3,I3,H3*(-1)),0),0)</f>
        <v>0</v>
      </c>
      <c r="K3" s="219">
        <f>IF(OR(J3&gt;I3,H3+I3&lt;0),makro1(),ROUNDDOWN(I3-J3,-1))</f>
        <v>100</v>
      </c>
      <c r="L3" s="231">
        <f>IF(H3&gt;0,ROUNDDOWN(H3,-1),0)</f>
        <v>100</v>
      </c>
      <c r="M3" s="359">
        <f>(D3-G3+J3)-(C3-F3)</f>
        <v>100</v>
      </c>
    </row>
    <row r="4" spans="1:13" x14ac:dyDescent="0.45">
      <c r="A4" s="176" t="s">
        <v>28</v>
      </c>
      <c r="B4" s="98"/>
      <c r="C4" s="12">
        <v>0</v>
      </c>
      <c r="D4" s="58">
        <v>0</v>
      </c>
      <c r="E4" s="55">
        <f t="shared" ref="E4:E15" si="1">D4-C4</f>
        <v>0</v>
      </c>
      <c r="F4" s="12">
        <v>50</v>
      </c>
      <c r="G4" s="58">
        <v>0</v>
      </c>
      <c r="H4" s="59">
        <f t="shared" ref="H4:H15" si="2">F4-G4</f>
        <v>50</v>
      </c>
      <c r="I4" s="237">
        <v>30</v>
      </c>
      <c r="J4" s="119">
        <f t="shared" si="0"/>
        <v>0</v>
      </c>
      <c r="K4" s="219">
        <f>IF(OR(J4&gt;I4,H4+I4&lt;0),makro1(),ROUNDDOWN(I4-J4,-1))</f>
        <v>30</v>
      </c>
      <c r="L4" s="231">
        <f t="shared" ref="L4:L7" si="3">IF(H4&gt;0,ROUNDDOWN(H4,-1),0)</f>
        <v>50</v>
      </c>
      <c r="M4" s="360">
        <f t="shared" ref="M4:M16" si="4">(D4-G4+J4)-(C4-F4)</f>
        <v>50</v>
      </c>
    </row>
    <row r="5" spans="1:13" x14ac:dyDescent="0.45">
      <c r="A5" s="176" t="s">
        <v>230</v>
      </c>
      <c r="B5" s="98">
        <v>2</v>
      </c>
      <c r="C5" s="12">
        <v>0</v>
      </c>
      <c r="D5" s="58">
        <v>0</v>
      </c>
      <c r="E5" s="55">
        <f t="shared" si="1"/>
        <v>0</v>
      </c>
      <c r="F5" s="12">
        <v>150</v>
      </c>
      <c r="G5" s="58">
        <v>0</v>
      </c>
      <c r="H5" s="59">
        <f t="shared" si="2"/>
        <v>150</v>
      </c>
      <c r="I5" s="243">
        <v>150</v>
      </c>
      <c r="J5" s="119">
        <f t="shared" si="0"/>
        <v>0</v>
      </c>
      <c r="K5" s="219">
        <f>IF(OR(J5&gt;I5,H5+I5&lt;0),makro1(),ROUNDDOWN(I5-J5,-1))</f>
        <v>150</v>
      </c>
      <c r="L5" s="244">
        <f t="shared" si="3"/>
        <v>150</v>
      </c>
      <c r="M5" s="360">
        <f t="shared" si="4"/>
        <v>150</v>
      </c>
    </row>
    <row r="6" spans="1:13" x14ac:dyDescent="0.45">
      <c r="A6" s="178" t="s">
        <v>93</v>
      </c>
      <c r="B6" s="99">
        <v>1</v>
      </c>
      <c r="C6" s="9">
        <v>0</v>
      </c>
      <c r="D6" s="54">
        <v>0</v>
      </c>
      <c r="E6" s="55">
        <f t="shared" si="1"/>
        <v>0</v>
      </c>
      <c r="F6" s="9">
        <v>35</v>
      </c>
      <c r="G6" s="54">
        <v>0</v>
      </c>
      <c r="H6" s="55">
        <f t="shared" si="2"/>
        <v>35</v>
      </c>
      <c r="I6" s="237">
        <v>30</v>
      </c>
      <c r="J6" s="119">
        <f t="shared" si="0"/>
        <v>0</v>
      </c>
      <c r="K6" s="219">
        <f>IF(OR(J6&gt;I6,H6+I6&lt;0),makro1(),ROUNDDOWN(I6-J6,-1))</f>
        <v>30</v>
      </c>
      <c r="L6" s="231">
        <f t="shared" si="3"/>
        <v>30</v>
      </c>
      <c r="M6" s="360">
        <f t="shared" si="4"/>
        <v>35</v>
      </c>
    </row>
    <row r="7" spans="1:13" x14ac:dyDescent="0.45">
      <c r="A7" s="176" t="s">
        <v>29</v>
      </c>
      <c r="B7" s="98">
        <v>1</v>
      </c>
      <c r="C7" s="12">
        <v>0</v>
      </c>
      <c r="D7" s="58">
        <v>0</v>
      </c>
      <c r="E7" s="55">
        <f t="shared" si="1"/>
        <v>0</v>
      </c>
      <c r="F7" s="12">
        <v>0</v>
      </c>
      <c r="G7" s="58">
        <v>0</v>
      </c>
      <c r="H7" s="59">
        <f t="shared" si="2"/>
        <v>0</v>
      </c>
      <c r="I7" s="243">
        <v>0</v>
      </c>
      <c r="J7" s="119">
        <f t="shared" si="0"/>
        <v>0</v>
      </c>
      <c r="K7" s="219">
        <f>IF(OR(J7&gt;I7,H7+I7&lt;0),makro1(),ROUNDDOWN(I7-J7,-1))</f>
        <v>0</v>
      </c>
      <c r="L7" s="244">
        <f t="shared" si="3"/>
        <v>0</v>
      </c>
      <c r="M7" s="360">
        <f t="shared" si="4"/>
        <v>0</v>
      </c>
    </row>
    <row r="8" spans="1:13" x14ac:dyDescent="0.45">
      <c r="A8" s="176" t="s">
        <v>231</v>
      </c>
      <c r="B8" s="98"/>
      <c r="C8" s="12">
        <v>300</v>
      </c>
      <c r="D8" s="58">
        <v>0</v>
      </c>
      <c r="E8" s="55">
        <f t="shared" si="1"/>
        <v>-300</v>
      </c>
      <c r="F8" s="12">
        <v>200</v>
      </c>
      <c r="G8" s="58">
        <v>0</v>
      </c>
      <c r="H8" s="59">
        <f t="shared" si="2"/>
        <v>200</v>
      </c>
      <c r="I8" s="237">
        <v>80</v>
      </c>
      <c r="J8" s="119">
        <f t="shared" si="0"/>
        <v>0</v>
      </c>
      <c r="K8" s="219">
        <f>IF(OR(J8&gt;I8,H8+I8&lt;0),makro1(),ROUNDDOWN(I8-J8,-1))</f>
        <v>80</v>
      </c>
      <c r="L8" s="231">
        <f t="shared" ref="L8:L15" si="5">IF(H8&gt;0,ROUNDDOWN(H8,-1),0)</f>
        <v>200</v>
      </c>
      <c r="M8" s="360">
        <f t="shared" si="4"/>
        <v>-100</v>
      </c>
    </row>
    <row r="9" spans="1:13" x14ac:dyDescent="0.45">
      <c r="A9" s="178" t="s">
        <v>261</v>
      </c>
      <c r="B9" s="99"/>
      <c r="C9" s="9">
        <v>0</v>
      </c>
      <c r="D9" s="54">
        <v>0</v>
      </c>
      <c r="E9" s="55">
        <f t="shared" ref="E9" si="6">D9-C9</f>
        <v>0</v>
      </c>
      <c r="F9" s="9">
        <v>1000</v>
      </c>
      <c r="G9" s="54">
        <v>0</v>
      </c>
      <c r="H9" s="55">
        <f t="shared" ref="H9" si="7">F9-G9</f>
        <v>1000</v>
      </c>
      <c r="I9" s="243">
        <v>0</v>
      </c>
      <c r="J9" s="119">
        <f t="shared" ref="J9" si="8">IF(H9&lt;0,IF(I9&gt;0,IF((H9*(-1))&gt;I9,I9,H9*(-1)),0),0)</f>
        <v>0</v>
      </c>
      <c r="K9" s="219">
        <f>IF(OR(J9&gt;I9,H9+I9&lt;0),makro1(),ROUNDDOWN(I9-J9,-1))</f>
        <v>0</v>
      </c>
      <c r="L9" s="244">
        <f t="shared" ref="L9" si="9">IF(H9&gt;0,ROUNDDOWN(H9,-1),0)</f>
        <v>1000</v>
      </c>
      <c r="M9" s="360">
        <f t="shared" ref="M9" si="10">(D9-G9+J9)-(C9-F9)</f>
        <v>1000</v>
      </c>
    </row>
    <row r="10" spans="1:13" x14ac:dyDescent="0.45">
      <c r="A10" s="178" t="s">
        <v>242</v>
      </c>
      <c r="B10" s="99"/>
      <c r="C10" s="9">
        <v>0</v>
      </c>
      <c r="D10" s="54">
        <v>0</v>
      </c>
      <c r="E10" s="55">
        <f t="shared" si="1"/>
        <v>0</v>
      </c>
      <c r="F10" s="9">
        <v>0</v>
      </c>
      <c r="G10" s="54">
        <v>0</v>
      </c>
      <c r="H10" s="55">
        <f t="shared" si="2"/>
        <v>0</v>
      </c>
      <c r="I10" s="243">
        <v>15000</v>
      </c>
      <c r="J10" s="119">
        <f t="shared" si="0"/>
        <v>0</v>
      </c>
      <c r="K10" s="219">
        <f>IF(OR(J10&gt;I10,H10+I10&lt;0),makro1(),ROUNDDOWN(I10-J10,-1))</f>
        <v>15000</v>
      </c>
      <c r="L10" s="244">
        <f t="shared" si="5"/>
        <v>0</v>
      </c>
      <c r="M10" s="360">
        <f t="shared" si="4"/>
        <v>0</v>
      </c>
    </row>
    <row r="11" spans="1:13" x14ac:dyDescent="0.45">
      <c r="A11" s="178" t="s">
        <v>233</v>
      </c>
      <c r="B11" s="99"/>
      <c r="C11" s="9">
        <v>0</v>
      </c>
      <c r="D11" s="54">
        <v>0</v>
      </c>
      <c r="E11" s="55">
        <f t="shared" ref="E11" si="11">D11-C11</f>
        <v>0</v>
      </c>
      <c r="F11" s="9">
        <v>0</v>
      </c>
      <c r="G11" s="54">
        <v>0</v>
      </c>
      <c r="H11" s="55">
        <f t="shared" ref="H11" si="12">F11-G11</f>
        <v>0</v>
      </c>
      <c r="I11" s="243">
        <v>2400</v>
      </c>
      <c r="J11" s="119">
        <f t="shared" ref="J11" si="13">IF(H11&lt;0,IF(I11&gt;0,IF((H11*(-1))&gt;I11,I11,H11*(-1)),0),0)</f>
        <v>0</v>
      </c>
      <c r="K11" s="219">
        <f>IF(OR(J11&gt;I11,H11+I11&lt;0),makro1(),ROUNDDOWN(I11-J11,-1))</f>
        <v>2400</v>
      </c>
      <c r="L11" s="244">
        <f t="shared" ref="L11" si="14">IF(H11&gt;0,ROUNDDOWN(H11,-1),0)</f>
        <v>0</v>
      </c>
      <c r="M11" s="360">
        <f t="shared" ref="M11" si="15">(D11-G11+J11)-(C11-F11)</f>
        <v>0</v>
      </c>
    </row>
    <row r="12" spans="1:13" x14ac:dyDescent="0.45">
      <c r="A12" s="178" t="s">
        <v>46</v>
      </c>
      <c r="B12" s="99"/>
      <c r="C12" s="9">
        <v>0</v>
      </c>
      <c r="D12" s="54">
        <v>0</v>
      </c>
      <c r="E12" s="55">
        <f t="shared" si="1"/>
        <v>0</v>
      </c>
      <c r="F12" s="9">
        <v>0</v>
      </c>
      <c r="G12" s="54">
        <v>0</v>
      </c>
      <c r="H12" s="55">
        <f t="shared" si="2"/>
        <v>0</v>
      </c>
      <c r="I12" s="243">
        <v>0</v>
      </c>
      <c r="J12" s="119">
        <f t="shared" si="0"/>
        <v>0</v>
      </c>
      <c r="K12" s="219">
        <f>IF(OR(J12&gt;I12,H12+I12&lt;0),makro1(),ROUNDDOWN(I12-J12,-1))</f>
        <v>0</v>
      </c>
      <c r="L12" s="244">
        <f t="shared" si="5"/>
        <v>0</v>
      </c>
      <c r="M12" s="360">
        <f t="shared" si="4"/>
        <v>0</v>
      </c>
    </row>
    <row r="13" spans="1:13" x14ac:dyDescent="0.45">
      <c r="A13" s="179" t="s">
        <v>262</v>
      </c>
      <c r="B13" s="98"/>
      <c r="C13" s="42">
        <v>0</v>
      </c>
      <c r="D13" s="56">
        <v>0</v>
      </c>
      <c r="E13" s="55">
        <f t="shared" si="1"/>
        <v>0</v>
      </c>
      <c r="F13" s="42">
        <v>250</v>
      </c>
      <c r="G13" s="56">
        <v>0</v>
      </c>
      <c r="H13" s="57">
        <f t="shared" si="2"/>
        <v>250</v>
      </c>
      <c r="I13" s="237">
        <v>250</v>
      </c>
      <c r="J13" s="119">
        <f t="shared" si="0"/>
        <v>0</v>
      </c>
      <c r="K13" s="219">
        <f>IF(OR(J13&gt;I13,H13+I13&lt;0),makro1(),ROUNDDOWN(I13-J13,-1))</f>
        <v>250</v>
      </c>
      <c r="L13" s="231">
        <f t="shared" si="5"/>
        <v>250</v>
      </c>
      <c r="M13" s="360">
        <f t="shared" si="4"/>
        <v>250</v>
      </c>
    </row>
    <row r="14" spans="1:13" x14ac:dyDescent="0.45">
      <c r="A14" s="179" t="s">
        <v>250</v>
      </c>
      <c r="B14" s="98"/>
      <c r="C14" s="42">
        <v>3500</v>
      </c>
      <c r="D14" s="56">
        <v>0</v>
      </c>
      <c r="E14" s="55">
        <f t="shared" ref="E14" si="16">D14-C14</f>
        <v>-3500</v>
      </c>
      <c r="F14" s="42">
        <v>3500</v>
      </c>
      <c r="G14" s="56">
        <v>0</v>
      </c>
      <c r="H14" s="57">
        <f t="shared" ref="H14" si="17">F14-G14</f>
        <v>3500</v>
      </c>
      <c r="I14" s="237">
        <v>0</v>
      </c>
      <c r="J14" s="119">
        <f t="shared" ref="J14" si="18">IF(H14&lt;0,IF(I14&gt;0,IF((H14*(-1))&gt;I14,I14,H14*(-1)),0),0)</f>
        <v>0</v>
      </c>
      <c r="K14" s="219">
        <f>IF(OR(J14&gt;I14,H14+I14&lt;0),makro1(),ROUNDDOWN(I14-J14,-1))</f>
        <v>0</v>
      </c>
      <c r="L14" s="231">
        <f t="shared" ref="L14" si="19">IF(H14&gt;0,ROUNDDOWN(H14,-1),0)</f>
        <v>3500</v>
      </c>
      <c r="M14" s="360">
        <f t="shared" ref="M14" si="20">(D14-G14+J14)-(C14-F14)</f>
        <v>0</v>
      </c>
    </row>
    <row r="15" spans="1:13" s="3" customFormat="1" ht="14.65" thickBot="1" x14ac:dyDescent="0.5">
      <c r="A15" s="180" t="s">
        <v>232</v>
      </c>
      <c r="B15" s="100"/>
      <c r="C15" s="42">
        <v>0</v>
      </c>
      <c r="D15" s="56">
        <v>0</v>
      </c>
      <c r="E15" s="55">
        <f t="shared" si="1"/>
        <v>0</v>
      </c>
      <c r="F15" s="42">
        <v>1400</v>
      </c>
      <c r="G15" s="56">
        <v>0</v>
      </c>
      <c r="H15" s="57">
        <f t="shared" si="2"/>
        <v>1400</v>
      </c>
      <c r="I15" s="243">
        <v>450</v>
      </c>
      <c r="J15" s="119">
        <f t="shared" si="0"/>
        <v>0</v>
      </c>
      <c r="K15" s="219">
        <f>IF(OR(J15&gt;I15,H15+I15&lt;0),makro1(),ROUNDDOWN(I15-J15,-1))</f>
        <v>450</v>
      </c>
      <c r="L15" s="244">
        <f t="shared" si="5"/>
        <v>1400</v>
      </c>
      <c r="M15" s="361">
        <f t="shared" si="4"/>
        <v>1400</v>
      </c>
    </row>
    <row r="16" spans="1:13" s="3" customFormat="1" ht="14.65" thickBot="1" x14ac:dyDescent="0.5">
      <c r="A16" s="672" t="s">
        <v>65</v>
      </c>
      <c r="B16" s="673"/>
      <c r="C16" s="44">
        <f t="shared" ref="C16:H16" si="21">SUM(C3:C15)</f>
        <v>3800</v>
      </c>
      <c r="D16" s="43">
        <f t="shared" si="21"/>
        <v>0</v>
      </c>
      <c r="E16" s="43">
        <f t="shared" si="21"/>
        <v>-3800</v>
      </c>
      <c r="F16" s="24">
        <f t="shared" si="21"/>
        <v>6685</v>
      </c>
      <c r="G16" s="43">
        <f t="shared" si="21"/>
        <v>0</v>
      </c>
      <c r="H16" s="24">
        <f t="shared" si="21"/>
        <v>6685</v>
      </c>
      <c r="I16" s="248">
        <f>SUM(I3:I15)</f>
        <v>18490</v>
      </c>
      <c r="J16" s="249">
        <f>SUM(J3:J15)</f>
        <v>0</v>
      </c>
      <c r="K16" s="250">
        <f>SUM(K3:K15)</f>
        <v>18490</v>
      </c>
      <c r="L16" s="251">
        <f>SUM(L3:L15)</f>
        <v>6680</v>
      </c>
      <c r="M16" s="363">
        <f t="shared" si="4"/>
        <v>2885</v>
      </c>
    </row>
  </sheetData>
  <customSheetViews>
    <customSheetView guid="{DCE90488-5D47-411B-84E2-3F0A7D96BA08}">
      <selection activeCell="F10" sqref="F10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10">
    <mergeCell ref="M1:M2"/>
    <mergeCell ref="I1:I2"/>
    <mergeCell ref="J1:J2"/>
    <mergeCell ref="K1:K2"/>
    <mergeCell ref="L1:L2"/>
    <mergeCell ref="A16:B16"/>
    <mergeCell ref="A1:A2"/>
    <mergeCell ref="B1:B2"/>
    <mergeCell ref="C1:E1"/>
    <mergeCell ref="F1:H1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28"/>
  <sheetViews>
    <sheetView tabSelected="1" zoomScale="105" zoomScaleNormal="100" workbookViewId="0">
      <selection activeCell="D11" sqref="D11"/>
    </sheetView>
  </sheetViews>
  <sheetFormatPr baseColWidth="10" defaultRowHeight="14.25" x14ac:dyDescent="0.45"/>
  <cols>
    <col min="1" max="1" width="18.53125" style="1" customWidth="1"/>
    <col min="2" max="2" width="18.19921875" bestFit="1" customWidth="1"/>
    <col min="3" max="3" width="14" bestFit="1" customWidth="1"/>
    <col min="4" max="4" width="14.265625" bestFit="1" customWidth="1"/>
    <col min="5" max="5" width="15.265625" customWidth="1"/>
    <col min="6" max="6" width="13" bestFit="1" customWidth="1"/>
    <col min="7" max="8" width="15" bestFit="1" customWidth="1"/>
    <col min="9" max="9" width="6.19921875" bestFit="1" customWidth="1"/>
    <col min="10" max="10" width="13" bestFit="1" customWidth="1"/>
    <col min="11" max="11" width="13.265625" bestFit="1" customWidth="1"/>
  </cols>
  <sheetData>
    <row r="1" spans="1:10" ht="15.75" customHeight="1" x14ac:dyDescent="0.45">
      <c r="A1" s="441" t="s">
        <v>236</v>
      </c>
      <c r="B1" s="442"/>
      <c r="C1" s="438" t="s">
        <v>67</v>
      </c>
      <c r="D1" s="439"/>
      <c r="E1" s="440"/>
      <c r="F1" s="438" t="s">
        <v>63</v>
      </c>
      <c r="G1" s="439"/>
      <c r="H1" s="440"/>
      <c r="I1" s="104"/>
    </row>
    <row r="2" spans="1:10" ht="27.75" customHeight="1" thickBot="1" x14ac:dyDescent="0.5">
      <c r="A2" s="443"/>
      <c r="B2" s="444"/>
      <c r="C2" s="37" t="s">
        <v>68</v>
      </c>
      <c r="D2" s="38" t="s">
        <v>69</v>
      </c>
      <c r="E2" s="39" t="s">
        <v>66</v>
      </c>
      <c r="F2" s="37" t="s">
        <v>68</v>
      </c>
      <c r="G2" s="40" t="s">
        <v>69</v>
      </c>
      <c r="H2" s="41" t="s">
        <v>66</v>
      </c>
      <c r="I2" s="104"/>
    </row>
    <row r="3" spans="1:10" ht="14.55" customHeight="1" x14ac:dyDescent="0.45">
      <c r="A3" s="445" t="s">
        <v>22</v>
      </c>
      <c r="B3" s="446"/>
      <c r="C3" s="106">
        <f>'Detailblatt I'!J53</f>
        <v>27650</v>
      </c>
      <c r="D3" s="105">
        <f>'Detailblatt I'!K53</f>
        <v>0</v>
      </c>
      <c r="E3" s="67">
        <f>D3-C3</f>
        <v>-27650</v>
      </c>
      <c r="F3" s="106">
        <f>'Detailblatt I'!M53</f>
        <v>193285</v>
      </c>
      <c r="G3" s="105">
        <f>'Detailblatt I'!N53</f>
        <v>0</v>
      </c>
      <c r="H3" s="67">
        <f>(F3-G3)</f>
        <v>193285</v>
      </c>
      <c r="I3" s="107"/>
    </row>
    <row r="4" spans="1:10" ht="14.55" customHeight="1" x14ac:dyDescent="0.45">
      <c r="A4" s="445" t="s">
        <v>180</v>
      </c>
      <c r="B4" s="446"/>
      <c r="C4" s="106">
        <f>'Detailblatt II'!F16</f>
        <v>139600</v>
      </c>
      <c r="D4" s="105">
        <f>'Detailblatt II'!G16</f>
        <v>0</v>
      </c>
      <c r="E4" s="67">
        <f t="shared" ref="E4:E7" si="0">D4-C4</f>
        <v>-139600</v>
      </c>
      <c r="F4" s="106">
        <f>'Detailblatt II'!I16</f>
        <v>0</v>
      </c>
      <c r="G4" s="105">
        <f>'Detailblatt II'!J16</f>
        <v>0</v>
      </c>
      <c r="H4" s="67">
        <f>(F4-G4)</f>
        <v>0</v>
      </c>
      <c r="I4" s="107"/>
    </row>
    <row r="5" spans="1:10" ht="14.55" customHeight="1" x14ac:dyDescent="0.45">
      <c r="A5" s="445" t="s">
        <v>45</v>
      </c>
      <c r="B5" s="446"/>
      <c r="C5" s="106">
        <f>'Detailblatt II'!F20</f>
        <v>0</v>
      </c>
      <c r="D5" s="105">
        <f>'Detailblatt II'!G20</f>
        <v>0</v>
      </c>
      <c r="E5" s="67">
        <f t="shared" si="0"/>
        <v>0</v>
      </c>
      <c r="F5" s="106">
        <f>'Detailblatt II'!I20</f>
        <v>0</v>
      </c>
      <c r="G5" s="105">
        <f>'Detailblatt II'!J20</f>
        <v>0</v>
      </c>
      <c r="H5" s="67">
        <f>(F5-G5)</f>
        <v>0</v>
      </c>
      <c r="I5" s="107"/>
    </row>
    <row r="6" spans="1:10" ht="29" customHeight="1" x14ac:dyDescent="0.45">
      <c r="A6" s="270" t="s">
        <v>219</v>
      </c>
      <c r="B6" s="271" t="s">
        <v>165</v>
      </c>
      <c r="C6" s="109">
        <f>IF((Beitragsermittlung!B16)-('Detailblatt II'!F14+'Detailblatt II'!F15)&gt;0,(Beitragsermittlung!B16)-('Detailblatt II'!F14+'Detailblatt II'!F15),0)</f>
        <v>195</v>
      </c>
      <c r="D6" s="108">
        <v>0</v>
      </c>
      <c r="E6" s="67">
        <f t="shared" si="0"/>
        <v>-195</v>
      </c>
      <c r="F6" s="109">
        <v>0</v>
      </c>
      <c r="G6" s="108">
        <f>'Detailblatt II'!G21</f>
        <v>0</v>
      </c>
      <c r="H6" s="78">
        <f>(F6-G6)</f>
        <v>0</v>
      </c>
      <c r="I6" s="107"/>
    </row>
    <row r="7" spans="1:10" ht="14.55" customHeight="1" x14ac:dyDescent="0.45">
      <c r="A7" s="449" t="s">
        <v>174</v>
      </c>
      <c r="B7" s="450"/>
      <c r="C7" s="283">
        <f>Beitragsermittlung!B14</f>
        <v>0</v>
      </c>
      <c r="D7" s="285"/>
      <c r="E7" s="299">
        <f t="shared" si="0"/>
        <v>0</v>
      </c>
      <c r="F7" s="283">
        <f>'Detailblatt II'!I19</f>
        <v>0</v>
      </c>
      <c r="G7" s="286"/>
      <c r="H7" s="284">
        <f>(F7-G7)</f>
        <v>0</v>
      </c>
      <c r="I7" s="107"/>
    </row>
    <row r="8" spans="1:10" ht="14.55" customHeight="1" x14ac:dyDescent="0.45">
      <c r="A8" s="447" t="s">
        <v>195</v>
      </c>
      <c r="B8" s="448"/>
      <c r="C8" s="334">
        <v>25840</v>
      </c>
      <c r="D8" s="335">
        <f>C8</f>
        <v>25840</v>
      </c>
      <c r="E8" s="336">
        <f>D8-C8</f>
        <v>0</v>
      </c>
      <c r="F8" s="337"/>
      <c r="G8" s="338"/>
      <c r="H8" s="339"/>
      <c r="I8" s="107"/>
    </row>
    <row r="9" spans="1:10" ht="14.55" customHeight="1" thickBot="1" x14ac:dyDescent="0.5">
      <c r="A9" s="451"/>
      <c r="B9" s="452"/>
      <c r="C9" s="328"/>
      <c r="D9" s="329"/>
      <c r="E9" s="330"/>
      <c r="F9" s="331"/>
      <c r="G9" s="332"/>
      <c r="H9" s="333"/>
      <c r="I9" s="107"/>
    </row>
    <row r="10" spans="1:10" ht="14.55" customHeight="1" thickBot="1" x14ac:dyDescent="0.5">
      <c r="A10" s="436" t="s">
        <v>87</v>
      </c>
      <c r="B10" s="437"/>
      <c r="C10" s="79">
        <f t="shared" ref="C10:H10" si="1">SUM(C3:C9)</f>
        <v>193285</v>
      </c>
      <c r="D10" s="79">
        <f t="shared" si="1"/>
        <v>25840</v>
      </c>
      <c r="E10" s="80">
        <f t="shared" si="1"/>
        <v>-167445</v>
      </c>
      <c r="F10" s="80">
        <f>SUM(F3:F9)</f>
        <v>193285</v>
      </c>
      <c r="G10" s="80">
        <f t="shared" si="1"/>
        <v>0</v>
      </c>
      <c r="H10" s="80">
        <f t="shared" si="1"/>
        <v>193285</v>
      </c>
      <c r="I10" s="107"/>
      <c r="J10" s="300"/>
    </row>
    <row r="11" spans="1:10" ht="15" customHeight="1" x14ac:dyDescent="0.45">
      <c r="A11" s="433" t="s">
        <v>176</v>
      </c>
      <c r="B11" s="256"/>
      <c r="C11" s="291"/>
      <c r="D11" s="273"/>
      <c r="E11" s="189"/>
      <c r="F11" s="189"/>
      <c r="G11" s="189"/>
      <c r="H11" s="189"/>
      <c r="J11" s="300"/>
    </row>
    <row r="12" spans="1:10" ht="14.55" customHeight="1" x14ac:dyDescent="0.45">
      <c r="A12" s="434"/>
      <c r="B12" s="272" t="s">
        <v>156</v>
      </c>
      <c r="C12" s="292">
        <f>F10</f>
        <v>193285</v>
      </c>
      <c r="E12" s="322" t="s">
        <v>214</v>
      </c>
      <c r="H12" s="323" t="str">
        <f>IF(Deckblatt!C10-Deckblatt!F10&gt;0,Deckblatt!C10-Deckblatt!F10+F6,IF(C10=F10,"Haushaltsplan ist ausgeglichen!","Haushaltsplan ist nicht ausgeglichen!"))</f>
        <v>Haushaltsplan ist ausgeglichen!</v>
      </c>
    </row>
    <row r="13" spans="1:10" ht="14.55" customHeight="1" x14ac:dyDescent="0.45">
      <c r="A13" s="253" t="s">
        <v>121</v>
      </c>
      <c r="B13" s="272" t="s">
        <v>160</v>
      </c>
      <c r="C13" s="292">
        <f>C3+C5</f>
        <v>27650</v>
      </c>
      <c r="D13" s="189"/>
      <c r="G13" s="189"/>
      <c r="H13" s="189"/>
    </row>
    <row r="14" spans="1:10" ht="14.55" customHeight="1" x14ac:dyDescent="0.45">
      <c r="A14" s="253" t="s">
        <v>121</v>
      </c>
      <c r="B14" s="313" t="s">
        <v>157</v>
      </c>
      <c r="C14" s="314">
        <f>C8+C9</f>
        <v>25840</v>
      </c>
      <c r="D14" s="189"/>
      <c r="G14" s="189"/>
      <c r="H14" s="189"/>
    </row>
    <row r="15" spans="1:10" ht="14.55" customHeight="1" x14ac:dyDescent="0.45">
      <c r="A15" s="253" t="s">
        <v>121</v>
      </c>
      <c r="B15" s="321" t="s">
        <v>212</v>
      </c>
      <c r="C15" s="320">
        <f>C7</f>
        <v>0</v>
      </c>
      <c r="D15" s="189"/>
      <c r="G15" s="189"/>
      <c r="H15" s="189"/>
    </row>
    <row r="16" spans="1:10" ht="14.55" customHeight="1" x14ac:dyDescent="0.45">
      <c r="A16" s="290" t="s">
        <v>122</v>
      </c>
      <c r="B16" s="315" t="s">
        <v>87</v>
      </c>
      <c r="C16" s="316">
        <f>C12-C13-C14-C15-F6</f>
        <v>139795</v>
      </c>
      <c r="D16" s="189"/>
      <c r="E16" s="435"/>
      <c r="F16" s="435"/>
      <c r="G16" s="435"/>
      <c r="H16" s="370"/>
      <c r="I16" s="371"/>
    </row>
    <row r="17" spans="1:8" ht="14.55" customHeight="1" thickBot="1" x14ac:dyDescent="0.5">
      <c r="A17" s="255" t="s">
        <v>158</v>
      </c>
      <c r="B17" s="272" t="s">
        <v>240</v>
      </c>
      <c r="C17" s="317">
        <f>'Detailblatt II'!D14+('Detailblatt II'!D15/6*4)</f>
        <v>7200</v>
      </c>
      <c r="D17" s="189"/>
      <c r="G17" s="189"/>
      <c r="H17" s="189"/>
    </row>
    <row r="18" spans="1:8" ht="14.55" customHeight="1" thickTop="1" thickBot="1" x14ac:dyDescent="0.5">
      <c r="A18" s="253" t="s">
        <v>122</v>
      </c>
      <c r="B18" s="318" t="s">
        <v>166</v>
      </c>
      <c r="C18" s="319">
        <f>IF((C16-'Detailblatt II'!F13)/Deckblatt!C17&lt;0,0,(C16-'Detailblatt II'!F13)/Deckblatt!C17)</f>
        <v>15.540972222222223</v>
      </c>
      <c r="D18" s="431" t="s">
        <v>211</v>
      </c>
      <c r="E18" s="432"/>
      <c r="F18" s="327">
        <f>ROUND((C18*2),0)/2</f>
        <v>15.5</v>
      </c>
      <c r="G18" s="189"/>
      <c r="H18" s="189"/>
    </row>
    <row r="19" spans="1:8" ht="14.65" thickTop="1" x14ac:dyDescent="0.45">
      <c r="A19" s="309"/>
      <c r="B19" s="310"/>
      <c r="C19" s="311"/>
      <c r="D19" s="254"/>
      <c r="G19" s="189"/>
      <c r="H19" s="189"/>
    </row>
    <row r="20" spans="1:8" x14ac:dyDescent="0.45">
      <c r="A20" s="309"/>
      <c r="B20" s="310"/>
      <c r="C20" s="312"/>
      <c r="D20" s="252"/>
      <c r="F20" s="308"/>
      <c r="G20" s="189"/>
      <c r="H20" s="189"/>
    </row>
    <row r="21" spans="1:8" x14ac:dyDescent="0.45">
      <c r="D21" s="252"/>
      <c r="F21" s="307"/>
      <c r="G21" s="189"/>
      <c r="H21" s="189"/>
    </row>
    <row r="22" spans="1:8" x14ac:dyDescent="0.45">
      <c r="A22" s="189"/>
      <c r="B22" s="189"/>
      <c r="C22" s="304"/>
      <c r="D22" s="189"/>
    </row>
    <row r="23" spans="1:8" x14ac:dyDescent="0.45">
      <c r="A23" s="305"/>
      <c r="B23" s="305"/>
      <c r="F23" s="252"/>
    </row>
    <row r="25" spans="1:8" x14ac:dyDescent="0.45">
      <c r="C25" s="301"/>
    </row>
    <row r="26" spans="1:8" s="3" customFormat="1" x14ac:dyDescent="0.45">
      <c r="A26" s="4"/>
    </row>
    <row r="27" spans="1:8" x14ac:dyDescent="0.45">
      <c r="A27" s="5"/>
    </row>
    <row r="28" spans="1:8" x14ac:dyDescent="0.45">
      <c r="A28" s="5"/>
    </row>
  </sheetData>
  <customSheetViews>
    <customSheetView guid="{DCE90488-5D47-411B-84E2-3F0A7D96BA08}">
      <selection activeCell="G4" sqref="G4"/>
      <pageMargins left="0.7" right="0.7" top="0.78740157499999996" bottom="0.78740157499999996" header="0.3" footer="0.3"/>
      <pageSetup paperSize="9" orientation="portrait" r:id="rId1"/>
    </customSheetView>
  </customSheetViews>
  <mergeCells count="13">
    <mergeCell ref="D18:E18"/>
    <mergeCell ref="A11:A12"/>
    <mergeCell ref="E16:G16"/>
    <mergeCell ref="A10:B10"/>
    <mergeCell ref="C1:E1"/>
    <mergeCell ref="F1:H1"/>
    <mergeCell ref="A1:B2"/>
    <mergeCell ref="A5:B5"/>
    <mergeCell ref="A4:B4"/>
    <mergeCell ref="A3:B3"/>
    <mergeCell ref="A8:B8"/>
    <mergeCell ref="A7:B7"/>
    <mergeCell ref="A9:B9"/>
  </mergeCells>
  <conditionalFormatting sqref="H12">
    <cfRule type="containsText" dxfId="0" priority="1" operator="containsText" text="nicht ausgeglichen">
      <formula>NOT(ISERROR(SEARCH("nicht ausgeglichen",H12)))</formula>
    </cfRule>
  </conditionalFormatting>
  <pageMargins left="0.7" right="0.7" top="0.78740157499999996" bottom="0.78740157499999996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1" sqref="B11"/>
    </sheetView>
  </sheetViews>
  <sheetFormatPr baseColWidth="10" defaultRowHeight="14.25" x14ac:dyDescent="0.45"/>
  <cols>
    <col min="1" max="1" width="93.265625" customWidth="1"/>
    <col min="2" max="2" width="11.33203125" bestFit="1" customWidth="1"/>
  </cols>
  <sheetData>
    <row r="1" spans="1:2" x14ac:dyDescent="0.45">
      <c r="A1" s="306" t="s">
        <v>209</v>
      </c>
    </row>
    <row r="2" spans="1:2" ht="14.65" thickBot="1" x14ac:dyDescent="0.5">
      <c r="A2" s="306"/>
    </row>
    <row r="3" spans="1:2" x14ac:dyDescent="0.45">
      <c r="A3" s="340" t="s">
        <v>204</v>
      </c>
      <c r="B3" s="341">
        <f>Deckblatt!F10-Deckblatt!C8-Deckblatt!C9-Deckblatt!F6</f>
        <v>167445</v>
      </c>
    </row>
    <row r="4" spans="1:2" x14ac:dyDescent="0.45">
      <c r="A4" s="346" t="s">
        <v>187</v>
      </c>
      <c r="B4" s="347">
        <f>'fortgeschr. Mittel+Konto'!D9</f>
        <v>149253.13000000006</v>
      </c>
    </row>
    <row r="5" spans="1:2" x14ac:dyDescent="0.45">
      <c r="A5" s="342" t="s">
        <v>205</v>
      </c>
      <c r="B5" s="344">
        <f>IF(B3&lt;B4,B3,B4)</f>
        <v>149253.13000000006</v>
      </c>
    </row>
    <row r="6" spans="1:2" x14ac:dyDescent="0.45">
      <c r="A6" s="346"/>
      <c r="B6" s="347"/>
    </row>
    <row r="7" spans="1:2" x14ac:dyDescent="0.45">
      <c r="A7" s="342" t="s">
        <v>215</v>
      </c>
      <c r="B7" s="343">
        <f>IF(Beitragsermittlung!B4&gt;Deckblatt!F10-Deckblatt!F6,Beitragsermittlung!B4-Beitragsermittlung!B5,0)</f>
        <v>0</v>
      </c>
    </row>
    <row r="8" spans="1:2" x14ac:dyDescent="0.45">
      <c r="A8" s="346" t="s">
        <v>201</v>
      </c>
      <c r="B8" s="347">
        <f>Mindestreserve!D17</f>
        <v>104100</v>
      </c>
    </row>
    <row r="9" spans="1:2" x14ac:dyDescent="0.45">
      <c r="A9" s="342" t="s">
        <v>208</v>
      </c>
      <c r="B9" s="343">
        <f>B4-B7</f>
        <v>149253.13000000006</v>
      </c>
    </row>
    <row r="10" spans="1:2" x14ac:dyDescent="0.45">
      <c r="A10" s="346" t="s">
        <v>207</v>
      </c>
      <c r="B10" s="348">
        <f>IF(B5&lt;B8,B8,B5)</f>
        <v>149253.13000000006</v>
      </c>
    </row>
    <row r="11" spans="1:2" x14ac:dyDescent="0.45">
      <c r="A11" s="342" t="s">
        <v>206</v>
      </c>
      <c r="B11" s="345">
        <f>B4-B10</f>
        <v>0</v>
      </c>
    </row>
    <row r="12" spans="1:2" x14ac:dyDescent="0.45">
      <c r="A12" s="346"/>
      <c r="B12" s="347"/>
    </row>
    <row r="13" spans="1:2" x14ac:dyDescent="0.45">
      <c r="A13" s="342" t="s">
        <v>216</v>
      </c>
      <c r="B13" s="343">
        <f>IF(Beitragsermittlung!B11&gt;(Deckblatt!F10-Deckblatt!F6-(Deckblatt!C3+Deckblatt!C5+Deckblatt!C8+Deckblatt!C9+'Detailblatt II'!F13)),Deckblatt!F10-Deckblatt!F6-(Deckblatt!C3+Deckblatt!C5+Deckblatt!C8+Deckblatt!C9+'Detailblatt II'!F13),Beitragsermittlung!B11)</f>
        <v>0</v>
      </c>
    </row>
    <row r="14" spans="1:2" x14ac:dyDescent="0.45">
      <c r="A14" s="346" t="s">
        <v>217</v>
      </c>
      <c r="B14" s="347">
        <f>IF(B13&lt;0,0,B13)</f>
        <v>0</v>
      </c>
    </row>
    <row r="15" spans="1:2" x14ac:dyDescent="0.45">
      <c r="A15" s="342"/>
      <c r="B15" s="343"/>
    </row>
    <row r="16" spans="1:2" ht="14.65" thickBot="1" x14ac:dyDescent="0.5">
      <c r="A16" s="349" t="s">
        <v>213</v>
      </c>
      <c r="B16" s="350">
        <f>(Deckblatt!F3+Deckblatt!F5+Deckblatt!F7+Deckblatt!F4)-(Deckblatt!C13+Deckblatt!C14+Deckblatt!C15+'Detailblatt II'!F13)</f>
        <v>111895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O110"/>
  <sheetViews>
    <sheetView topLeftCell="B1" zoomScale="109" zoomScaleNormal="130" workbookViewId="0">
      <selection activeCell="I5" sqref="I5:I6"/>
    </sheetView>
  </sheetViews>
  <sheetFormatPr baseColWidth="10" defaultColWidth="11" defaultRowHeight="13.5" x14ac:dyDescent="0.35"/>
  <cols>
    <col min="1" max="1" width="3.19921875" style="188" customWidth="1"/>
    <col min="2" max="2" width="39.53125" style="188" bestFit="1" customWidth="1"/>
    <col min="3" max="3" width="11.46484375" style="188" bestFit="1" customWidth="1"/>
    <col min="4" max="4" width="13" style="188" customWidth="1"/>
    <col min="5" max="5" width="11" style="188" customWidth="1"/>
    <col min="6" max="6" width="3" style="188" bestFit="1" customWidth="1"/>
    <col min="7" max="7" width="11" style="188"/>
    <col min="8" max="8" width="14.265625" style="188" customWidth="1"/>
    <col min="9" max="9" width="11.73046875" style="188" bestFit="1" customWidth="1"/>
    <col min="10" max="16384" width="11" style="188"/>
  </cols>
  <sheetData>
    <row r="1" spans="1:15" ht="14.55" customHeight="1" thickBot="1" x14ac:dyDescent="0.4">
      <c r="A1" s="471" t="s">
        <v>125</v>
      </c>
      <c r="B1" s="472"/>
      <c r="C1" s="475" t="s">
        <v>62</v>
      </c>
      <c r="D1" s="469">
        <f>'Detailblatt I'!F1</f>
        <v>2020</v>
      </c>
    </row>
    <row r="2" spans="1:15" ht="14.55" customHeight="1" thickBot="1" x14ac:dyDescent="0.4">
      <c r="A2" s="473"/>
      <c r="B2" s="474"/>
      <c r="C2" s="476"/>
      <c r="D2" s="470"/>
      <c r="F2" s="374" t="s">
        <v>128</v>
      </c>
      <c r="G2" s="477" t="s">
        <v>127</v>
      </c>
      <c r="H2" s="478"/>
      <c r="I2" s="375" t="s">
        <v>126</v>
      </c>
    </row>
    <row r="3" spans="1:15" ht="14.55" customHeight="1" thickBot="1" x14ac:dyDescent="0.4">
      <c r="A3" s="378"/>
      <c r="B3" s="379" t="s">
        <v>222</v>
      </c>
      <c r="C3" s="380" t="s">
        <v>124</v>
      </c>
      <c r="D3" s="379" t="s">
        <v>126</v>
      </c>
      <c r="E3" s="189"/>
      <c r="F3" s="480" t="s">
        <v>129</v>
      </c>
      <c r="G3" s="481" t="s">
        <v>197</v>
      </c>
      <c r="H3" s="482"/>
      <c r="I3" s="479">
        <f>1569.75+623.43+859.11+859.11+800+675.01+100</f>
        <v>5486.41</v>
      </c>
      <c r="J3" s="189"/>
      <c r="K3" s="189"/>
      <c r="L3" s="189"/>
      <c r="M3" s="189"/>
      <c r="N3" s="189"/>
      <c r="O3" s="189"/>
    </row>
    <row r="4" spans="1:15" ht="14.55" customHeight="1" x14ac:dyDescent="0.35">
      <c r="A4" s="381"/>
      <c r="B4" s="382" t="s">
        <v>185</v>
      </c>
      <c r="C4" s="383"/>
      <c r="D4" s="384">
        <f>5259.59+499.19+97.69+472231.34+60000</f>
        <v>538087.81000000006</v>
      </c>
      <c r="E4" s="189"/>
      <c r="F4" s="460"/>
      <c r="G4" s="467"/>
      <c r="H4" s="468"/>
      <c r="I4" s="464"/>
      <c r="J4" s="189"/>
      <c r="K4" s="189"/>
      <c r="L4" s="189"/>
      <c r="M4" s="189"/>
      <c r="N4" s="189"/>
      <c r="O4" s="189"/>
    </row>
    <row r="5" spans="1:15" ht="14.55" customHeight="1" x14ac:dyDescent="0.35">
      <c r="A5" s="385" t="s">
        <v>121</v>
      </c>
      <c r="B5" s="386" t="s">
        <v>123</v>
      </c>
      <c r="C5" s="387"/>
      <c r="D5" s="373">
        <f>I24*(-1)</f>
        <v>-320314.68</v>
      </c>
      <c r="E5" s="189"/>
      <c r="F5" s="459" t="s">
        <v>130</v>
      </c>
      <c r="G5" s="465" t="s">
        <v>194</v>
      </c>
      <c r="H5" s="466"/>
      <c r="I5" s="463">
        <f>120+1500+250+2500+100+250+545+110+50+1000+1000</f>
        <v>7425</v>
      </c>
      <c r="J5" s="189"/>
      <c r="K5" s="189"/>
      <c r="L5" s="189"/>
      <c r="M5" s="189"/>
      <c r="N5" s="189"/>
      <c r="O5" s="189"/>
    </row>
    <row r="6" spans="1:15" ht="14.55" customHeight="1" x14ac:dyDescent="0.35">
      <c r="A6" s="388" t="s">
        <v>121</v>
      </c>
      <c r="B6" s="389" t="s">
        <v>186</v>
      </c>
      <c r="C6" s="390"/>
      <c r="D6" s="391">
        <f>'Detailblatt I'!P53*(-1)-'Detailblatt I'!Q53*(-1)</f>
        <v>-42680</v>
      </c>
      <c r="E6" s="189"/>
      <c r="F6" s="460"/>
      <c r="G6" s="467"/>
      <c r="H6" s="468"/>
      <c r="I6" s="464"/>
      <c r="J6" s="189"/>
      <c r="K6" s="189"/>
      <c r="L6" s="189"/>
      <c r="M6" s="189"/>
      <c r="N6" s="189"/>
      <c r="O6" s="189"/>
    </row>
    <row r="7" spans="1:15" ht="14.55" customHeight="1" x14ac:dyDescent="0.35">
      <c r="A7" s="392" t="s">
        <v>121</v>
      </c>
      <c r="B7" s="393" t="s">
        <v>196</v>
      </c>
      <c r="C7" s="394"/>
      <c r="D7" s="395">
        <f>SUM(Deckblatt!C8:C9)*-1</f>
        <v>-25840</v>
      </c>
      <c r="E7" s="189"/>
      <c r="F7" s="326" t="s">
        <v>131</v>
      </c>
      <c r="G7" s="453" t="s">
        <v>198</v>
      </c>
      <c r="H7" s="454"/>
      <c r="I7" s="325">
        <v>1000</v>
      </c>
      <c r="J7" s="189"/>
      <c r="K7" s="189"/>
      <c r="L7" s="189"/>
      <c r="M7" s="189"/>
      <c r="N7" s="189"/>
      <c r="O7" s="189"/>
    </row>
    <row r="8" spans="1:15" ht="14.55" customHeight="1" thickBot="1" x14ac:dyDescent="0.4">
      <c r="A8" s="396" t="s">
        <v>121</v>
      </c>
      <c r="B8" s="397" t="s">
        <v>252</v>
      </c>
      <c r="C8" s="398"/>
      <c r="D8" s="399">
        <v>0</v>
      </c>
      <c r="E8" s="189"/>
      <c r="F8" s="190" t="s">
        <v>132</v>
      </c>
      <c r="G8" s="461" t="s">
        <v>148</v>
      </c>
      <c r="H8" s="462"/>
      <c r="I8" s="325">
        <v>11200</v>
      </c>
      <c r="J8" s="189"/>
      <c r="K8" s="189"/>
      <c r="L8" s="189"/>
      <c r="M8" s="189"/>
      <c r="N8" s="189"/>
      <c r="O8" s="189"/>
    </row>
    <row r="9" spans="1:15" ht="14.55" customHeight="1" thickBot="1" x14ac:dyDescent="0.4">
      <c r="A9" s="400" t="s">
        <v>122</v>
      </c>
      <c r="B9" s="401" t="s">
        <v>187</v>
      </c>
      <c r="C9" s="402"/>
      <c r="D9" s="403">
        <f>D4+D5+D6+D7+D8</f>
        <v>149253.13000000006</v>
      </c>
      <c r="E9" s="189"/>
      <c r="F9" s="190" t="s">
        <v>133</v>
      </c>
      <c r="G9" s="461" t="s">
        <v>163</v>
      </c>
      <c r="H9" s="462"/>
      <c r="I9" s="325">
        <v>600</v>
      </c>
      <c r="J9" s="189"/>
      <c r="K9" s="189"/>
      <c r="L9" s="189"/>
      <c r="M9" s="189"/>
      <c r="N9" s="189"/>
      <c r="O9" s="189"/>
    </row>
    <row r="10" spans="1:15" ht="14.55" customHeight="1" thickTop="1" x14ac:dyDescent="0.35">
      <c r="B10" s="189"/>
      <c r="C10" s="189"/>
      <c r="D10" s="189"/>
      <c r="E10" s="189"/>
      <c r="F10" s="190" t="s">
        <v>134</v>
      </c>
      <c r="G10" s="461" t="s">
        <v>150</v>
      </c>
      <c r="H10" s="462"/>
      <c r="I10" s="325">
        <v>80</v>
      </c>
      <c r="J10" s="189"/>
      <c r="O10" s="189"/>
    </row>
    <row r="11" spans="1:15" ht="14.55" customHeight="1" x14ac:dyDescent="0.35">
      <c r="B11" s="189"/>
      <c r="C11" s="189"/>
      <c r="D11" s="189"/>
      <c r="E11" s="189"/>
      <c r="F11" s="190" t="s">
        <v>135</v>
      </c>
      <c r="G11" s="461" t="s">
        <v>149</v>
      </c>
      <c r="H11" s="462"/>
      <c r="I11" s="325">
        <v>50</v>
      </c>
      <c r="J11" s="189"/>
      <c r="K11" s="189"/>
      <c r="L11" s="189"/>
      <c r="M11" s="189"/>
      <c r="N11" s="189"/>
      <c r="O11" s="189"/>
    </row>
    <row r="12" spans="1:15" ht="14.55" customHeight="1" x14ac:dyDescent="0.35">
      <c r="B12" s="303"/>
      <c r="C12" s="189"/>
      <c r="D12" s="298"/>
      <c r="E12" s="189"/>
      <c r="F12" s="190" t="s">
        <v>136</v>
      </c>
      <c r="G12" s="461" t="s">
        <v>144</v>
      </c>
      <c r="H12" s="462"/>
      <c r="I12" s="325">
        <v>30</v>
      </c>
      <c r="J12" s="189"/>
      <c r="K12" s="189"/>
      <c r="L12" s="189"/>
      <c r="M12" s="189"/>
      <c r="N12" s="189"/>
      <c r="O12" s="189"/>
    </row>
    <row r="13" spans="1:15" ht="14.55" customHeight="1" x14ac:dyDescent="0.35">
      <c r="B13" s="189"/>
      <c r="C13" s="189"/>
      <c r="D13" s="298"/>
      <c r="E13" s="189"/>
      <c r="F13" s="190" t="s">
        <v>137</v>
      </c>
      <c r="G13" s="461" t="s">
        <v>145</v>
      </c>
      <c r="H13" s="462"/>
      <c r="I13" s="325">
        <v>100</v>
      </c>
      <c r="J13" s="189"/>
      <c r="K13" s="189"/>
      <c r="L13" s="189"/>
      <c r="M13" s="189"/>
      <c r="N13" s="189"/>
      <c r="O13" s="189"/>
    </row>
    <row r="14" spans="1:15" ht="14.55" customHeight="1" x14ac:dyDescent="0.35">
      <c r="B14" s="189"/>
      <c r="C14" s="189"/>
      <c r="D14" s="189"/>
      <c r="E14" s="189"/>
      <c r="F14" s="190" t="s">
        <v>138</v>
      </c>
      <c r="G14" s="461" t="s">
        <v>164</v>
      </c>
      <c r="H14" s="462"/>
      <c r="I14" s="325">
        <v>750</v>
      </c>
      <c r="J14" s="189"/>
      <c r="K14" s="189"/>
      <c r="L14" s="189"/>
      <c r="M14" s="189"/>
      <c r="N14" s="189"/>
      <c r="O14" s="189"/>
    </row>
    <row r="15" spans="1:15" ht="14.55" customHeight="1" x14ac:dyDescent="0.35">
      <c r="B15" s="189"/>
      <c r="C15" s="189"/>
      <c r="D15" s="189"/>
      <c r="E15" s="189"/>
      <c r="F15" s="190" t="s">
        <v>139</v>
      </c>
      <c r="G15" s="461" t="s">
        <v>146</v>
      </c>
      <c r="H15" s="462"/>
      <c r="I15" s="325">
        <v>50</v>
      </c>
      <c r="J15" s="189"/>
      <c r="K15" s="189"/>
      <c r="L15" s="189"/>
      <c r="M15" s="189"/>
      <c r="N15" s="189"/>
      <c r="O15" s="189"/>
    </row>
    <row r="16" spans="1:15" ht="14.55" customHeight="1" x14ac:dyDescent="0.35">
      <c r="B16" s="240"/>
      <c r="C16" s="189"/>
      <c r="D16" s="189"/>
      <c r="E16" s="189"/>
      <c r="F16" s="190" t="s">
        <v>140</v>
      </c>
      <c r="G16" s="461" t="s">
        <v>147</v>
      </c>
      <c r="H16" s="462"/>
      <c r="I16" s="325">
        <v>152.27000000000001</v>
      </c>
      <c r="J16" s="189"/>
      <c r="K16" s="189"/>
      <c r="L16" s="189"/>
      <c r="M16" s="189"/>
      <c r="N16" s="189"/>
      <c r="O16" s="189"/>
    </row>
    <row r="17" spans="2:15" ht="14.55" customHeight="1" x14ac:dyDescent="0.35">
      <c r="B17" s="240"/>
      <c r="C17" s="189"/>
      <c r="D17" s="189"/>
      <c r="E17" s="189"/>
      <c r="F17" s="485" t="s">
        <v>141</v>
      </c>
      <c r="G17" s="465" t="s">
        <v>161</v>
      </c>
      <c r="H17" s="466"/>
      <c r="I17" s="483">
        <f>100+50</f>
        <v>150</v>
      </c>
      <c r="J17" s="189"/>
      <c r="K17" s="189"/>
      <c r="L17" s="189"/>
      <c r="M17" s="189"/>
      <c r="N17" s="189"/>
      <c r="O17" s="189"/>
    </row>
    <row r="18" spans="2:15" ht="14.55" customHeight="1" x14ac:dyDescent="0.35">
      <c r="B18" s="240"/>
      <c r="C18" s="189"/>
      <c r="D18" s="189"/>
      <c r="E18" s="189"/>
      <c r="F18" s="486"/>
      <c r="G18" s="467"/>
      <c r="H18" s="468"/>
      <c r="I18" s="484"/>
      <c r="J18" s="189"/>
      <c r="K18" s="189"/>
      <c r="L18" s="189"/>
      <c r="M18" s="189"/>
      <c r="N18" s="189"/>
      <c r="O18" s="189"/>
    </row>
    <row r="19" spans="2:15" ht="14.55" customHeight="1" x14ac:dyDescent="0.35">
      <c r="B19" s="189"/>
      <c r="C19" s="189"/>
      <c r="D19" s="189"/>
      <c r="E19" s="189"/>
      <c r="F19" s="485" t="s">
        <v>142</v>
      </c>
      <c r="G19" s="487" t="s">
        <v>251</v>
      </c>
      <c r="H19" s="466"/>
      <c r="I19" s="483">
        <v>290241</v>
      </c>
      <c r="J19" s="189"/>
      <c r="K19" s="189"/>
      <c r="L19" s="189"/>
      <c r="M19" s="189"/>
      <c r="N19" s="189"/>
      <c r="O19" s="189"/>
    </row>
    <row r="20" spans="2:15" ht="14.55" customHeight="1" x14ac:dyDescent="0.35">
      <c r="B20" s="189"/>
      <c r="C20" s="189"/>
      <c r="D20" s="189"/>
      <c r="E20" s="189"/>
      <c r="F20" s="486"/>
      <c r="G20" s="467"/>
      <c r="H20" s="468"/>
      <c r="I20" s="484"/>
      <c r="J20" s="189"/>
      <c r="K20" s="189"/>
      <c r="L20" s="189"/>
      <c r="M20" s="189"/>
      <c r="N20" s="189"/>
      <c r="O20" s="189"/>
    </row>
    <row r="21" spans="2:15" ht="14.55" customHeight="1" x14ac:dyDescent="0.35">
      <c r="B21" s="189"/>
      <c r="C21" s="189"/>
      <c r="D21" s="189"/>
      <c r="E21" s="189"/>
      <c r="F21" s="324" t="s">
        <v>143</v>
      </c>
      <c r="G21" s="461" t="s">
        <v>234</v>
      </c>
      <c r="H21" s="462"/>
      <c r="I21" s="261">
        <v>0</v>
      </c>
      <c r="J21" s="189"/>
      <c r="K21" s="189"/>
      <c r="L21" s="189"/>
      <c r="M21" s="189"/>
      <c r="N21" s="189"/>
      <c r="O21" s="189"/>
    </row>
    <row r="22" spans="2:15" ht="14.55" customHeight="1" x14ac:dyDescent="0.35">
      <c r="B22" s="189"/>
      <c r="C22" s="189"/>
      <c r="D22" s="189"/>
      <c r="E22" s="189"/>
      <c r="F22" s="324" t="s">
        <v>162</v>
      </c>
      <c r="G22" s="461" t="s">
        <v>235</v>
      </c>
      <c r="H22" s="462"/>
      <c r="I22" s="261">
        <v>0</v>
      </c>
      <c r="J22" s="189"/>
      <c r="K22" s="189"/>
      <c r="L22" s="189"/>
      <c r="M22" s="189"/>
      <c r="N22" s="189"/>
      <c r="O22" s="189"/>
    </row>
    <row r="23" spans="2:15" ht="14.55" customHeight="1" thickBot="1" x14ac:dyDescent="0.4">
      <c r="B23" s="189"/>
      <c r="C23" s="189"/>
      <c r="D23" s="189"/>
      <c r="E23" s="189"/>
      <c r="F23" s="191" t="s">
        <v>193</v>
      </c>
      <c r="G23" s="457" t="s">
        <v>253</v>
      </c>
      <c r="H23" s="458"/>
      <c r="I23" s="260">
        <v>3000</v>
      </c>
      <c r="J23" s="189"/>
      <c r="K23" s="189"/>
      <c r="L23" s="189"/>
      <c r="M23" s="189"/>
      <c r="N23" s="189"/>
      <c r="O23" s="189"/>
    </row>
    <row r="24" spans="2:15" ht="14.55" customHeight="1" thickBot="1" x14ac:dyDescent="0.4">
      <c r="B24" s="189"/>
      <c r="C24" s="189"/>
      <c r="D24" s="189"/>
      <c r="E24" s="189"/>
      <c r="F24" s="376" t="s">
        <v>122</v>
      </c>
      <c r="G24" s="455" t="s">
        <v>65</v>
      </c>
      <c r="H24" s="456"/>
      <c r="I24" s="377">
        <f>SUM(I3:I23)</f>
        <v>320314.68</v>
      </c>
      <c r="J24" s="189"/>
      <c r="K24" s="189"/>
      <c r="L24" s="189"/>
      <c r="M24" s="189"/>
      <c r="N24" s="189"/>
      <c r="O24" s="189"/>
    </row>
    <row r="25" spans="2:15" x14ac:dyDescent="0.35"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2:15" x14ac:dyDescent="0.35"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2:15" x14ac:dyDescent="0.3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2:15" x14ac:dyDescent="0.35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2:15" x14ac:dyDescent="0.35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2:15" x14ac:dyDescent="0.35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2:15" x14ac:dyDescent="0.35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2:15" x14ac:dyDescent="0.35"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2:15" x14ac:dyDescent="0.35"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2:15" x14ac:dyDescent="0.35"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</row>
    <row r="35" spans="2:15" x14ac:dyDescent="0.35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2:15" x14ac:dyDescent="0.35"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</row>
    <row r="37" spans="2:15" x14ac:dyDescent="0.35"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</row>
    <row r="38" spans="2:15" x14ac:dyDescent="0.35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2:15" x14ac:dyDescent="0.35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2:15" x14ac:dyDescent="0.35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2:15" x14ac:dyDescent="0.35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2:15" x14ac:dyDescent="0.35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 x14ac:dyDescent="0.35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2:15" x14ac:dyDescent="0.35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15" x14ac:dyDescent="0.35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x14ac:dyDescent="0.35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2:15" x14ac:dyDescent="0.35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2:15" x14ac:dyDescent="0.35"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2:15" x14ac:dyDescent="0.35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2:15" x14ac:dyDescent="0.35"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2:15" x14ac:dyDescent="0.35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2:15" x14ac:dyDescent="0.35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</row>
    <row r="53" spans="2:15" x14ac:dyDescent="0.35"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2:15" x14ac:dyDescent="0.35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2:15" x14ac:dyDescent="0.35"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</row>
    <row r="56" spans="2:15" x14ac:dyDescent="0.35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</row>
    <row r="57" spans="2:15" x14ac:dyDescent="0.3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</row>
    <row r="58" spans="2:15" x14ac:dyDescent="0.35"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2:15" x14ac:dyDescent="0.35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</row>
    <row r="60" spans="2:15" x14ac:dyDescent="0.35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</row>
    <row r="61" spans="2:15" x14ac:dyDescent="0.35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</row>
    <row r="62" spans="2:15" x14ac:dyDescent="0.35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2:15" x14ac:dyDescent="0.35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2:15" x14ac:dyDescent="0.3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</row>
    <row r="65" spans="2:15" x14ac:dyDescent="0.35"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</row>
    <row r="66" spans="2:15" x14ac:dyDescent="0.35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</row>
    <row r="67" spans="2:15" x14ac:dyDescent="0.35"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</row>
    <row r="68" spans="2:15" x14ac:dyDescent="0.35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</row>
    <row r="69" spans="2:15" x14ac:dyDescent="0.35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</row>
    <row r="70" spans="2:15" x14ac:dyDescent="0.35"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</row>
    <row r="71" spans="2:15" x14ac:dyDescent="0.35"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</row>
    <row r="72" spans="2:15" x14ac:dyDescent="0.35"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2:15" x14ac:dyDescent="0.35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</row>
    <row r="74" spans="2:15" x14ac:dyDescent="0.35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2:15" x14ac:dyDescent="0.3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</row>
    <row r="76" spans="2:15" x14ac:dyDescent="0.35"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</row>
    <row r="77" spans="2:15" x14ac:dyDescent="0.35"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</row>
    <row r="78" spans="2:15" x14ac:dyDescent="0.35"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</row>
    <row r="79" spans="2:15" x14ac:dyDescent="0.35"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2:15" x14ac:dyDescent="0.35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</row>
    <row r="81" spans="2:15" x14ac:dyDescent="0.35"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</row>
    <row r="82" spans="2:15" x14ac:dyDescent="0.35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</row>
    <row r="83" spans="2:15" x14ac:dyDescent="0.35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</row>
    <row r="84" spans="2:15" x14ac:dyDescent="0.35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</row>
    <row r="85" spans="2:15" x14ac:dyDescent="0.35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</row>
    <row r="86" spans="2:15" x14ac:dyDescent="0.35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</row>
    <row r="87" spans="2:15" x14ac:dyDescent="0.35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</row>
    <row r="88" spans="2:15" x14ac:dyDescent="0.35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</row>
    <row r="89" spans="2:15" x14ac:dyDescent="0.35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</row>
    <row r="90" spans="2:15" x14ac:dyDescent="0.35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</row>
    <row r="91" spans="2:15" x14ac:dyDescent="0.35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</row>
    <row r="92" spans="2:15" x14ac:dyDescent="0.35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2:15" x14ac:dyDescent="0.3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2:15" x14ac:dyDescent="0.35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2:15" x14ac:dyDescent="0.35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2:15" x14ac:dyDescent="0.35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2:15" x14ac:dyDescent="0.35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2:15" x14ac:dyDescent="0.35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2:15" x14ac:dyDescent="0.35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2:15" x14ac:dyDescent="0.3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2:15" x14ac:dyDescent="0.3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2:15" x14ac:dyDescent="0.3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2:15" x14ac:dyDescent="0.35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2:15" x14ac:dyDescent="0.3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2:15" x14ac:dyDescent="0.35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2:15" x14ac:dyDescent="0.35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2:15" x14ac:dyDescent="0.35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2:15" x14ac:dyDescent="0.35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  <row r="109" spans="2:15" x14ac:dyDescent="0.35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</row>
    <row r="110" spans="2:15" x14ac:dyDescent="0.35">
      <c r="F110" s="189"/>
      <c r="G110" s="189"/>
      <c r="H110" s="189"/>
      <c r="I110" s="189"/>
    </row>
  </sheetData>
  <mergeCells count="30">
    <mergeCell ref="I17:I18"/>
    <mergeCell ref="G17:H18"/>
    <mergeCell ref="F17:F18"/>
    <mergeCell ref="G22:H22"/>
    <mergeCell ref="G21:H21"/>
    <mergeCell ref="I19:I20"/>
    <mergeCell ref="G19:H20"/>
    <mergeCell ref="F19:F20"/>
    <mergeCell ref="I5:I6"/>
    <mergeCell ref="G5:H6"/>
    <mergeCell ref="D1:D2"/>
    <mergeCell ref="A1:B2"/>
    <mergeCell ref="C1:C2"/>
    <mergeCell ref="G2:H2"/>
    <mergeCell ref="I3:I4"/>
    <mergeCell ref="F3:F4"/>
    <mergeCell ref="G3:H4"/>
    <mergeCell ref="G7:H7"/>
    <mergeCell ref="G24:H24"/>
    <mergeCell ref="G23:H23"/>
    <mergeCell ref="F5:F6"/>
    <mergeCell ref="G16:H16"/>
    <mergeCell ref="G11:H11"/>
    <mergeCell ref="G10:H10"/>
    <mergeCell ref="G9:H9"/>
    <mergeCell ref="G8:H8"/>
    <mergeCell ref="G15:H15"/>
    <mergeCell ref="G14:H14"/>
    <mergeCell ref="G13:H13"/>
    <mergeCell ref="G12:H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J27"/>
  <sheetViews>
    <sheetView zoomScaleNormal="100" workbookViewId="0">
      <selection activeCell="D5" sqref="D5:E5"/>
    </sheetView>
  </sheetViews>
  <sheetFormatPr baseColWidth="10" defaultColWidth="11" defaultRowHeight="11.25" x14ac:dyDescent="0.3"/>
  <cols>
    <col min="1" max="2" width="11" style="189"/>
    <col min="3" max="3" width="5.53125" style="189" customWidth="1"/>
    <col min="4" max="5" width="9" style="189" customWidth="1"/>
    <col min="6" max="9" width="11" style="189"/>
    <col min="10" max="10" width="11" style="189" customWidth="1"/>
    <col min="11" max="16384" width="11" style="189"/>
  </cols>
  <sheetData>
    <row r="1" spans="1:10" ht="13.5" x14ac:dyDescent="0.35">
      <c r="A1" s="471" t="s">
        <v>201</v>
      </c>
      <c r="B1" s="515"/>
      <c r="C1" s="472"/>
      <c r="D1" s="475" t="s">
        <v>62</v>
      </c>
      <c r="E1" s="518">
        <f>'Detailblatt I'!F1</f>
        <v>2020</v>
      </c>
      <c r="F1" s="520" t="s">
        <v>167</v>
      </c>
      <c r="G1" s="521"/>
      <c r="H1" s="521"/>
      <c r="I1" s="521"/>
      <c r="J1" s="522"/>
    </row>
    <row r="2" spans="1:10" ht="15" customHeight="1" thickBot="1" x14ac:dyDescent="0.4">
      <c r="A2" s="473"/>
      <c r="B2" s="516"/>
      <c r="C2" s="474"/>
      <c r="D2" s="517"/>
      <c r="E2" s="519"/>
      <c r="F2" s="277"/>
      <c r="G2" s="528" t="s">
        <v>168</v>
      </c>
      <c r="H2" s="528"/>
      <c r="I2" s="528"/>
      <c r="J2" s="529"/>
    </row>
    <row r="3" spans="1:10" ht="13.15" customHeight="1" thickBot="1" x14ac:dyDescent="0.4">
      <c r="A3" s="523" t="s">
        <v>169</v>
      </c>
      <c r="B3" s="524"/>
      <c r="C3" s="525"/>
      <c r="D3" s="526" t="s">
        <v>170</v>
      </c>
      <c r="E3" s="527"/>
      <c r="F3" s="278"/>
      <c r="G3" s="530"/>
      <c r="H3" s="530"/>
      <c r="I3" s="530"/>
      <c r="J3" s="531"/>
    </row>
    <row r="4" spans="1:10" ht="12.7" customHeight="1" thickBot="1" x14ac:dyDescent="0.4">
      <c r="A4" s="512" t="s">
        <v>1</v>
      </c>
      <c r="B4" s="513"/>
      <c r="C4" s="513"/>
      <c r="D4" s="513"/>
      <c r="E4" s="514"/>
      <c r="F4" s="275"/>
      <c r="G4" s="276"/>
      <c r="H4" s="276"/>
      <c r="I4" s="276"/>
      <c r="J4" s="276"/>
    </row>
    <row r="5" spans="1:10" ht="12.75" x14ac:dyDescent="0.35">
      <c r="A5" s="507" t="s">
        <v>175</v>
      </c>
      <c r="B5" s="508"/>
      <c r="C5" s="508"/>
      <c r="D5" s="503">
        <f>'Detailblatt I'!M7</f>
        <v>102000</v>
      </c>
      <c r="E5" s="504"/>
      <c r="F5" s="274"/>
    </row>
    <row r="6" spans="1:10" ht="12.75" x14ac:dyDescent="0.35">
      <c r="A6" s="495" t="s">
        <v>173</v>
      </c>
      <c r="B6" s="496"/>
      <c r="C6" s="496"/>
      <c r="D6" s="501"/>
      <c r="E6" s="502"/>
      <c r="F6" s="274"/>
    </row>
    <row r="7" spans="1:10" ht="13.15" thickBot="1" x14ac:dyDescent="0.4">
      <c r="A7" s="493" t="s">
        <v>173</v>
      </c>
      <c r="B7" s="494"/>
      <c r="C7" s="494"/>
      <c r="D7" s="499" t="s">
        <v>218</v>
      </c>
      <c r="E7" s="500"/>
      <c r="F7" s="274"/>
    </row>
    <row r="8" spans="1:10" ht="13.15" thickBot="1" x14ac:dyDescent="0.4">
      <c r="A8" s="509" t="s">
        <v>6</v>
      </c>
      <c r="B8" s="510"/>
      <c r="C8" s="510"/>
      <c r="D8" s="510"/>
      <c r="E8" s="511"/>
      <c r="F8" s="274"/>
    </row>
    <row r="9" spans="1:10" ht="12.75" x14ac:dyDescent="0.35">
      <c r="A9" s="507" t="s">
        <v>171</v>
      </c>
      <c r="B9" s="508"/>
      <c r="C9" s="508"/>
      <c r="D9" s="503">
        <f>Finanzen!G3</f>
        <v>400</v>
      </c>
      <c r="E9" s="504"/>
      <c r="F9" s="274"/>
    </row>
    <row r="10" spans="1:10" ht="12.75" x14ac:dyDescent="0.35">
      <c r="A10" s="505" t="s">
        <v>90</v>
      </c>
      <c r="B10" s="506"/>
      <c r="C10" s="506"/>
      <c r="D10" s="503">
        <f>Finanzen!G5</f>
        <v>250</v>
      </c>
      <c r="E10" s="504"/>
      <c r="F10" s="274"/>
    </row>
    <row r="11" spans="1:10" ht="13.15" thickBot="1" x14ac:dyDescent="0.4">
      <c r="A11" s="493" t="s">
        <v>173</v>
      </c>
      <c r="B11" s="494"/>
      <c r="C11" s="494"/>
      <c r="D11" s="499" t="s">
        <v>218</v>
      </c>
      <c r="E11" s="500"/>
      <c r="F11" s="274"/>
    </row>
    <row r="12" spans="1:10" ht="13.15" thickBot="1" x14ac:dyDescent="0.4">
      <c r="A12" s="490" t="s">
        <v>172</v>
      </c>
      <c r="B12" s="491"/>
      <c r="C12" s="491"/>
      <c r="D12" s="491"/>
      <c r="E12" s="492"/>
      <c r="F12" s="274"/>
    </row>
    <row r="13" spans="1:10" ht="12.75" x14ac:dyDescent="0.35">
      <c r="A13" s="507" t="s">
        <v>28</v>
      </c>
      <c r="B13" s="508"/>
      <c r="C13" s="508"/>
      <c r="D13" s="503">
        <f>'Studentische Verwaltung'!F4</f>
        <v>50</v>
      </c>
      <c r="E13" s="504"/>
      <c r="F13" s="274"/>
    </row>
    <row r="14" spans="1:10" ht="12.75" x14ac:dyDescent="0.35">
      <c r="A14" s="505" t="s">
        <v>36</v>
      </c>
      <c r="B14" s="506"/>
      <c r="C14" s="506"/>
      <c r="D14" s="503">
        <f>'Studentische Verwaltung'!F15</f>
        <v>1400</v>
      </c>
      <c r="E14" s="504"/>
      <c r="F14" s="274"/>
    </row>
    <row r="15" spans="1:10" ht="12.75" x14ac:dyDescent="0.35">
      <c r="A15" s="495" t="s">
        <v>173</v>
      </c>
      <c r="B15" s="496"/>
      <c r="C15" s="496"/>
      <c r="D15" s="501" t="s">
        <v>218</v>
      </c>
      <c r="E15" s="502"/>
      <c r="F15" s="274"/>
    </row>
    <row r="16" spans="1:10" ht="13.15" thickBot="1" x14ac:dyDescent="0.4">
      <c r="A16" s="493" t="s">
        <v>173</v>
      </c>
      <c r="B16" s="494"/>
      <c r="C16" s="494"/>
      <c r="D16" s="499" t="s">
        <v>218</v>
      </c>
      <c r="E16" s="500"/>
      <c r="F16" s="274"/>
    </row>
    <row r="17" spans="1:6" s="280" customFormat="1" ht="13.15" thickBot="1" x14ac:dyDescent="0.4">
      <c r="A17" s="488" t="s">
        <v>87</v>
      </c>
      <c r="B17" s="489"/>
      <c r="C17" s="489"/>
      <c r="D17" s="497">
        <f>SUM(D5:E16)</f>
        <v>104100</v>
      </c>
      <c r="E17" s="498"/>
      <c r="F17" s="279"/>
    </row>
    <row r="18" spans="1:6" ht="12.75" x14ac:dyDescent="0.35">
      <c r="A18" s="274"/>
      <c r="B18" s="274"/>
      <c r="C18" s="274"/>
      <c r="D18" s="274"/>
      <c r="E18" s="274"/>
      <c r="F18" s="274"/>
    </row>
    <row r="19" spans="1:6" ht="12.75" x14ac:dyDescent="0.35">
      <c r="A19" s="274"/>
      <c r="B19" s="274"/>
      <c r="C19" s="274"/>
      <c r="D19" s="274"/>
      <c r="E19" s="274"/>
      <c r="F19" s="274"/>
    </row>
    <row r="20" spans="1:6" ht="12.75" x14ac:dyDescent="0.35">
      <c r="A20" s="274"/>
      <c r="B20" s="274"/>
      <c r="C20" s="274"/>
      <c r="D20" s="274"/>
      <c r="E20" s="274"/>
      <c r="F20" s="274"/>
    </row>
    <row r="21" spans="1:6" ht="12.75" x14ac:dyDescent="0.35">
      <c r="A21" s="274"/>
      <c r="B21" s="274"/>
      <c r="C21" s="274"/>
      <c r="D21" s="274"/>
      <c r="E21" s="274"/>
      <c r="F21" s="274"/>
    </row>
    <row r="22" spans="1:6" ht="12.75" x14ac:dyDescent="0.35">
      <c r="A22" s="274"/>
      <c r="B22" s="274"/>
      <c r="C22" s="274"/>
      <c r="D22" s="274"/>
      <c r="E22" s="274"/>
      <c r="F22" s="274"/>
    </row>
    <row r="23" spans="1:6" ht="12.75" x14ac:dyDescent="0.35">
      <c r="A23" s="274"/>
      <c r="B23" s="274"/>
      <c r="C23" s="274"/>
      <c r="D23" s="274"/>
      <c r="E23" s="274"/>
      <c r="F23" s="274"/>
    </row>
    <row r="24" spans="1:6" ht="12.75" x14ac:dyDescent="0.35">
      <c r="A24" s="274"/>
      <c r="B24" s="274"/>
      <c r="C24" s="274"/>
      <c r="D24" s="274"/>
      <c r="E24" s="274"/>
      <c r="F24" s="274"/>
    </row>
    <row r="25" spans="1:6" ht="12.75" x14ac:dyDescent="0.35">
      <c r="A25" s="274"/>
      <c r="B25" s="274"/>
      <c r="C25" s="274"/>
      <c r="D25" s="274"/>
      <c r="E25" s="274"/>
      <c r="F25" s="274"/>
    </row>
    <row r="26" spans="1:6" ht="12.75" x14ac:dyDescent="0.35">
      <c r="A26" s="274"/>
      <c r="B26" s="274"/>
      <c r="C26" s="274"/>
      <c r="D26" s="274"/>
      <c r="E26" s="274"/>
      <c r="F26" s="274"/>
    </row>
    <row r="27" spans="1:6" ht="12.75" x14ac:dyDescent="0.35">
      <c r="A27" s="274"/>
      <c r="B27" s="274"/>
      <c r="C27" s="274"/>
      <c r="D27" s="274"/>
      <c r="E27" s="274"/>
      <c r="F27" s="274"/>
    </row>
  </sheetData>
  <mergeCells count="32">
    <mergeCell ref="A4:E4"/>
    <mergeCell ref="A1:C2"/>
    <mergeCell ref="D1:D2"/>
    <mergeCell ref="E1:E2"/>
    <mergeCell ref="F1:J1"/>
    <mergeCell ref="A3:C3"/>
    <mergeCell ref="D3:E3"/>
    <mergeCell ref="G2:J3"/>
    <mergeCell ref="D11:E11"/>
    <mergeCell ref="A5:C5"/>
    <mergeCell ref="A6:C6"/>
    <mergeCell ref="A7:C7"/>
    <mergeCell ref="A8:E8"/>
    <mergeCell ref="A11:C11"/>
    <mergeCell ref="A10:C10"/>
    <mergeCell ref="A9:C9"/>
    <mergeCell ref="D10:E10"/>
    <mergeCell ref="D9:E9"/>
    <mergeCell ref="D6:E6"/>
    <mergeCell ref="D7:E7"/>
    <mergeCell ref="D5:E5"/>
    <mergeCell ref="A17:C17"/>
    <mergeCell ref="A12:E12"/>
    <mergeCell ref="A16:C16"/>
    <mergeCell ref="A15:C15"/>
    <mergeCell ref="D17:E17"/>
    <mergeCell ref="D16:E16"/>
    <mergeCell ref="D15:E15"/>
    <mergeCell ref="D14:E14"/>
    <mergeCell ref="D13:E13"/>
    <mergeCell ref="A14:C14"/>
    <mergeCell ref="A13:C1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T54"/>
  <sheetViews>
    <sheetView zoomScale="75" zoomScaleNormal="115" workbookViewId="0">
      <pane ySplit="2" topLeftCell="A19" activePane="bottomLeft" state="frozen"/>
      <selection activeCell="E14" sqref="E14"/>
      <selection pane="bottomLeft" activeCell="P53" sqref="P53"/>
    </sheetView>
  </sheetViews>
  <sheetFormatPr baseColWidth="10" defaultColWidth="11.46484375" defaultRowHeight="14.25" x14ac:dyDescent="0.45"/>
  <cols>
    <col min="1" max="1" width="9.73046875" style="112" bestFit="1" customWidth="1"/>
    <col min="2" max="3" width="3.19921875" style="112" customWidth="1"/>
    <col min="4" max="4" width="6.73046875" style="112" bestFit="1" customWidth="1"/>
    <col min="5" max="5" width="17.19921875" style="112" customWidth="1"/>
    <col min="6" max="6" width="5" style="112" bestFit="1" customWidth="1"/>
    <col min="7" max="7" width="6.19921875" style="112" customWidth="1"/>
    <col min="8" max="8" width="5" style="112" customWidth="1"/>
    <col min="9" max="9" width="6.73046875" style="112" customWidth="1"/>
    <col min="10" max="14" width="14.265625" style="112" customWidth="1"/>
    <col min="15" max="15" width="15.73046875" style="112" customWidth="1"/>
    <col min="16" max="16" width="11.46484375" style="111" customWidth="1"/>
    <col min="17" max="17" width="11.46484375" style="111"/>
    <col min="18" max="18" width="11.796875" style="111" bestFit="1" customWidth="1"/>
    <col min="19" max="19" width="11.265625" style="111" customWidth="1"/>
    <col min="20" max="16384" width="11.46484375" style="112"/>
  </cols>
  <sheetData>
    <row r="1" spans="1:19" s="110" customFormat="1" ht="18.7" customHeight="1" x14ac:dyDescent="0.45">
      <c r="A1" s="640" t="s">
        <v>83</v>
      </c>
      <c r="B1" s="641"/>
      <c r="C1" s="641"/>
      <c r="D1" s="642"/>
      <c r="E1" s="475" t="s">
        <v>62</v>
      </c>
      <c r="F1" s="518">
        <v>2020</v>
      </c>
      <c r="G1" s="518"/>
      <c r="H1" s="518"/>
      <c r="I1" s="469"/>
      <c r="J1" s="609" t="s">
        <v>67</v>
      </c>
      <c r="K1" s="610"/>
      <c r="L1" s="611"/>
      <c r="M1" s="609" t="s">
        <v>63</v>
      </c>
      <c r="N1" s="610"/>
      <c r="O1" s="611"/>
      <c r="P1" s="597" t="s">
        <v>151</v>
      </c>
      <c r="Q1" s="634" t="s">
        <v>115</v>
      </c>
      <c r="R1" s="599" t="s">
        <v>116</v>
      </c>
      <c r="S1" s="620" t="s">
        <v>152</v>
      </c>
    </row>
    <row r="2" spans="1:19" s="110" customFormat="1" ht="18.7" customHeight="1" thickBot="1" x14ac:dyDescent="0.5">
      <c r="A2" s="643"/>
      <c r="B2" s="644"/>
      <c r="C2" s="644"/>
      <c r="D2" s="645"/>
      <c r="E2" s="476"/>
      <c r="F2" s="639"/>
      <c r="G2" s="639"/>
      <c r="H2" s="639"/>
      <c r="I2" s="470"/>
      <c r="J2" s="212" t="s">
        <v>68</v>
      </c>
      <c r="K2" s="213" t="s">
        <v>69</v>
      </c>
      <c r="L2" s="214" t="s">
        <v>66</v>
      </c>
      <c r="M2" s="212" t="s">
        <v>68</v>
      </c>
      <c r="N2" s="215" t="s">
        <v>69</v>
      </c>
      <c r="O2" s="216" t="s">
        <v>66</v>
      </c>
      <c r="P2" s="598"/>
      <c r="Q2" s="635"/>
      <c r="R2" s="600"/>
      <c r="S2" s="621"/>
    </row>
    <row r="3" spans="1:19" ht="14.65" thickBot="1" x14ac:dyDescent="0.5">
      <c r="A3" s="622" t="s">
        <v>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4"/>
    </row>
    <row r="4" spans="1:19" s="113" customFormat="1" ht="14.65" thickBot="1" x14ac:dyDescent="0.5">
      <c r="A4" s="625" t="s">
        <v>1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7"/>
      <c r="Q4" s="627"/>
      <c r="R4" s="627"/>
      <c r="S4" s="628"/>
    </row>
    <row r="5" spans="1:19" x14ac:dyDescent="0.45">
      <c r="A5" s="114" t="s">
        <v>224</v>
      </c>
      <c r="B5" s="646"/>
      <c r="C5" s="608"/>
      <c r="D5" s="608"/>
      <c r="E5" s="608"/>
      <c r="F5" s="608"/>
      <c r="G5" s="608"/>
      <c r="H5" s="608"/>
      <c r="I5" s="608"/>
      <c r="J5" s="81"/>
      <c r="K5" s="82"/>
      <c r="L5" s="83"/>
      <c r="M5" s="608"/>
      <c r="N5" s="608"/>
      <c r="O5" s="608"/>
      <c r="P5" s="196"/>
      <c r="Q5" s="115"/>
      <c r="R5" s="115"/>
      <c r="S5" s="227"/>
    </row>
    <row r="6" spans="1:19" ht="15" customHeight="1" x14ac:dyDescent="0.45">
      <c r="A6" s="405">
        <v>2749</v>
      </c>
      <c r="B6" s="601" t="s">
        <v>26</v>
      </c>
      <c r="C6" s="604" t="s">
        <v>70</v>
      </c>
      <c r="D6" s="602"/>
      <c r="E6" s="602"/>
      <c r="F6" s="602"/>
      <c r="G6" s="602"/>
      <c r="H6" s="602"/>
      <c r="I6" s="603"/>
      <c r="J6" s="76"/>
      <c r="K6" s="128">
        <v>0</v>
      </c>
      <c r="L6" s="77">
        <f>K6</f>
        <v>0</v>
      </c>
      <c r="M6" s="116"/>
      <c r="N6" s="117"/>
      <c r="O6" s="86"/>
      <c r="P6" s="197"/>
      <c r="Q6" s="118"/>
      <c r="R6" s="118"/>
      <c r="S6" s="221"/>
    </row>
    <row r="7" spans="1:19" x14ac:dyDescent="0.45">
      <c r="A7" s="405">
        <v>4120</v>
      </c>
      <c r="B7" s="601"/>
      <c r="C7" s="604" t="s">
        <v>71</v>
      </c>
      <c r="D7" s="602"/>
      <c r="E7" s="602"/>
      <c r="F7" s="602"/>
      <c r="G7" s="602"/>
      <c r="H7" s="602"/>
      <c r="I7" s="603"/>
      <c r="J7" s="73"/>
      <c r="K7" s="74"/>
      <c r="L7" s="75"/>
      <c r="M7" s="7">
        <f>90000+12000</f>
        <v>102000</v>
      </c>
      <c r="N7" s="8">
        <v>0</v>
      </c>
      <c r="O7" s="636">
        <f>M7-SUM(N7:N10)+L6</f>
        <v>102000</v>
      </c>
      <c r="P7" s="197"/>
      <c r="Q7" s="118"/>
      <c r="R7" s="118"/>
      <c r="S7" s="221"/>
    </row>
    <row r="8" spans="1:19" x14ac:dyDescent="0.45">
      <c r="A8" s="405">
        <v>4130</v>
      </c>
      <c r="B8" s="601"/>
      <c r="C8" s="604" t="s">
        <v>72</v>
      </c>
      <c r="D8" s="602"/>
      <c r="E8" s="602"/>
      <c r="F8" s="602"/>
      <c r="G8" s="602"/>
      <c r="H8" s="602"/>
      <c r="I8" s="603"/>
      <c r="J8" s="73"/>
      <c r="K8" s="74"/>
      <c r="L8" s="75"/>
      <c r="M8" s="605"/>
      <c r="N8" s="8">
        <v>0</v>
      </c>
      <c r="O8" s="637"/>
      <c r="P8" s="197"/>
      <c r="Q8" s="118"/>
      <c r="R8" s="118"/>
      <c r="S8" s="221"/>
    </row>
    <row r="9" spans="1:19" x14ac:dyDescent="0.45">
      <c r="A9" s="405">
        <v>4138</v>
      </c>
      <c r="B9" s="601"/>
      <c r="C9" s="604" t="s">
        <v>73</v>
      </c>
      <c r="D9" s="602"/>
      <c r="E9" s="602"/>
      <c r="F9" s="602"/>
      <c r="G9" s="602"/>
      <c r="H9" s="602"/>
      <c r="I9" s="603"/>
      <c r="J9" s="73"/>
      <c r="K9" s="74"/>
      <c r="L9" s="75"/>
      <c r="M9" s="606"/>
      <c r="N9" s="8">
        <v>0</v>
      </c>
      <c r="O9" s="637"/>
      <c r="P9" s="197"/>
      <c r="Q9" s="118"/>
      <c r="R9" s="118"/>
      <c r="S9" s="221"/>
    </row>
    <row r="10" spans="1:19" x14ac:dyDescent="0.45">
      <c r="A10" s="406">
        <v>4956</v>
      </c>
      <c r="B10" s="601"/>
      <c r="C10" s="604" t="s">
        <v>114</v>
      </c>
      <c r="D10" s="602"/>
      <c r="E10" s="602"/>
      <c r="F10" s="602"/>
      <c r="G10" s="602"/>
      <c r="H10" s="602"/>
      <c r="I10" s="603"/>
      <c r="J10" s="73"/>
      <c r="K10" s="74"/>
      <c r="L10" s="75"/>
      <c r="M10" s="607"/>
      <c r="N10" s="8">
        <v>0</v>
      </c>
      <c r="O10" s="638"/>
      <c r="P10" s="197"/>
      <c r="Q10" s="118"/>
      <c r="R10" s="118"/>
      <c r="S10" s="221"/>
    </row>
    <row r="11" spans="1:19" x14ac:dyDescent="0.45">
      <c r="A11" s="407">
        <v>4110</v>
      </c>
      <c r="B11" s="602" t="s">
        <v>178</v>
      </c>
      <c r="C11" s="602"/>
      <c r="D11" s="602"/>
      <c r="E11" s="602"/>
      <c r="F11" s="602"/>
      <c r="G11" s="602"/>
      <c r="H11" s="602"/>
      <c r="I11" s="603"/>
      <c r="J11" s="73"/>
      <c r="K11" s="74"/>
      <c r="L11" s="75"/>
      <c r="M11" s="7">
        <v>16000</v>
      </c>
      <c r="N11" s="8">
        <v>0</v>
      </c>
      <c r="O11" s="84">
        <f t="shared" ref="O11:O21" si="0">M11-N11</f>
        <v>16000</v>
      </c>
      <c r="P11" s="197"/>
      <c r="Q11" s="118"/>
      <c r="R11" s="118"/>
      <c r="S11" s="221"/>
    </row>
    <row r="12" spans="1:19" x14ac:dyDescent="0.45">
      <c r="A12" s="408">
        <v>4640</v>
      </c>
      <c r="B12" s="602" t="s">
        <v>79</v>
      </c>
      <c r="C12" s="602"/>
      <c r="D12" s="602"/>
      <c r="E12" s="602"/>
      <c r="F12" s="602"/>
      <c r="G12" s="602"/>
      <c r="H12" s="602"/>
      <c r="I12" s="603"/>
      <c r="J12" s="73"/>
      <c r="K12" s="74"/>
      <c r="L12" s="75"/>
      <c r="M12" s="7">
        <v>1200</v>
      </c>
      <c r="N12" s="8">
        <v>0</v>
      </c>
      <c r="O12" s="84">
        <f t="shared" si="0"/>
        <v>1200</v>
      </c>
      <c r="P12" s="197"/>
      <c r="Q12" s="118"/>
      <c r="R12" s="218"/>
      <c r="S12" s="221"/>
    </row>
    <row r="13" spans="1:19" x14ac:dyDescent="0.45">
      <c r="A13" s="408">
        <v>4670</v>
      </c>
      <c r="B13" s="602" t="s">
        <v>241</v>
      </c>
      <c r="C13" s="602"/>
      <c r="D13" s="602"/>
      <c r="E13" s="602"/>
      <c r="F13" s="602"/>
      <c r="G13" s="602"/>
      <c r="H13" s="602"/>
      <c r="I13" s="603"/>
      <c r="J13" s="73"/>
      <c r="K13" s="74"/>
      <c r="L13" s="75"/>
      <c r="M13" s="7">
        <v>500</v>
      </c>
      <c r="N13" s="8">
        <v>0</v>
      </c>
      <c r="O13" s="84">
        <f t="shared" ref="O13" si="1">M13-N13</f>
        <v>500</v>
      </c>
      <c r="P13" s="197"/>
      <c r="Q13" s="118"/>
      <c r="R13" s="218"/>
      <c r="S13" s="221"/>
    </row>
    <row r="14" spans="1:19" x14ac:dyDescent="0.45">
      <c r="A14" s="409">
        <v>4909</v>
      </c>
      <c r="B14" s="602" t="s">
        <v>5</v>
      </c>
      <c r="C14" s="602"/>
      <c r="D14" s="602"/>
      <c r="E14" s="602"/>
      <c r="F14" s="602"/>
      <c r="G14" s="602"/>
      <c r="H14" s="602"/>
      <c r="I14" s="603"/>
      <c r="J14" s="73"/>
      <c r="K14" s="74"/>
      <c r="L14" s="75"/>
      <c r="M14" s="7">
        <v>0</v>
      </c>
      <c r="N14" s="8">
        <v>0</v>
      </c>
      <c r="O14" s="84">
        <f t="shared" si="0"/>
        <v>0</v>
      </c>
      <c r="P14" s="197"/>
      <c r="Q14" s="118"/>
      <c r="R14" s="118"/>
      <c r="S14" s="221"/>
    </row>
    <row r="15" spans="1:19" x14ac:dyDescent="0.45">
      <c r="A15" s="407">
        <v>4930</v>
      </c>
      <c r="B15" s="602" t="s">
        <v>2</v>
      </c>
      <c r="C15" s="602"/>
      <c r="D15" s="602"/>
      <c r="E15" s="602"/>
      <c r="F15" s="602"/>
      <c r="G15" s="602"/>
      <c r="H15" s="602"/>
      <c r="I15" s="603"/>
      <c r="J15" s="73"/>
      <c r="K15" s="74"/>
      <c r="L15" s="75"/>
      <c r="M15" s="7">
        <v>200</v>
      </c>
      <c r="N15" s="8">
        <v>0</v>
      </c>
      <c r="O15" s="84">
        <f t="shared" si="0"/>
        <v>200</v>
      </c>
      <c r="P15" s="237">
        <v>180</v>
      </c>
      <c r="Q15" s="119">
        <f>IF(O15&lt;0,IF(P15&gt;0,IF((O15*(-1))&gt;P15,P15,O15*(-1)),0),0)</f>
        <v>0</v>
      </c>
      <c r="R15" s="219">
        <f>IF(OR(Q15&gt;P15,O15+P15&lt;0),makro1(),ROUNDDOWN(P15-Q15,-1))</f>
        <v>180</v>
      </c>
      <c r="S15" s="231">
        <f>IF(O15&gt;0,ROUNDDOWN(O15,-1),0)</f>
        <v>200</v>
      </c>
    </row>
    <row r="16" spans="1:19" x14ac:dyDescent="0.45">
      <c r="A16" s="408">
        <v>4943</v>
      </c>
      <c r="B16" s="602" t="s">
        <v>77</v>
      </c>
      <c r="C16" s="602"/>
      <c r="D16" s="602"/>
      <c r="E16" s="602"/>
      <c r="F16" s="602"/>
      <c r="G16" s="602"/>
      <c r="H16" s="602"/>
      <c r="I16" s="603"/>
      <c r="J16" s="73"/>
      <c r="K16" s="74"/>
      <c r="L16" s="75"/>
      <c r="M16" s="7">
        <v>2000</v>
      </c>
      <c r="N16" s="8">
        <v>0</v>
      </c>
      <c r="O16" s="84">
        <f t="shared" si="0"/>
        <v>2000</v>
      </c>
      <c r="P16" s="237">
        <v>0</v>
      </c>
      <c r="Q16" s="119">
        <f t="shared" ref="Q16:Q17" si="2">IF(O16&lt;0,IF(P16&gt;0,IF((O16*(-1))&gt;P16,P16,O16*(-1)),0),0)</f>
        <v>0</v>
      </c>
      <c r="R16" s="219">
        <f>IF(OR(Q16&gt;P16,O16+P16&lt;0),makro1(),ROUNDDOWN(P16-Q16,-1))</f>
        <v>0</v>
      </c>
      <c r="S16" s="231">
        <f>IF(O16&gt;0,ROUNDDOWN(O16,-1),0)</f>
        <v>2000</v>
      </c>
    </row>
    <row r="17" spans="1:20" ht="14.65" thickBot="1" x14ac:dyDescent="0.5">
      <c r="A17" s="408">
        <v>4944</v>
      </c>
      <c r="B17" s="602" t="s">
        <v>78</v>
      </c>
      <c r="C17" s="602"/>
      <c r="D17" s="602"/>
      <c r="E17" s="602"/>
      <c r="F17" s="602"/>
      <c r="G17" s="602"/>
      <c r="H17" s="602"/>
      <c r="I17" s="603"/>
      <c r="J17" s="73"/>
      <c r="K17" s="74"/>
      <c r="L17" s="75"/>
      <c r="M17" s="7">
        <v>500</v>
      </c>
      <c r="N17" s="8">
        <v>0</v>
      </c>
      <c r="O17" s="84">
        <f t="shared" si="0"/>
        <v>500</v>
      </c>
      <c r="P17" s="238">
        <v>490</v>
      </c>
      <c r="Q17" s="119">
        <f t="shared" si="2"/>
        <v>0</v>
      </c>
      <c r="R17" s="351">
        <f>IF(OR(Q17&gt;P17,O17+P17&lt;0),makro1(),ROUNDDOWN(P17-Q17,-1))</f>
        <v>490</v>
      </c>
      <c r="S17" s="352">
        <f>IF(O17&gt;0,ROUNDDOWN(O17,-1),0)</f>
        <v>500</v>
      </c>
      <c r="T17" s="192"/>
    </row>
    <row r="18" spans="1:20" x14ac:dyDescent="0.45">
      <c r="A18" s="409">
        <v>4945</v>
      </c>
      <c r="B18" s="602" t="s">
        <v>75</v>
      </c>
      <c r="C18" s="602"/>
      <c r="D18" s="602"/>
      <c r="E18" s="602"/>
      <c r="F18" s="602"/>
      <c r="G18" s="602"/>
      <c r="H18" s="602"/>
      <c r="I18" s="603"/>
      <c r="J18" s="217">
        <f>'Schulungen &amp; Konferenzen'!C22</f>
        <v>0</v>
      </c>
      <c r="K18" s="217">
        <f>'Schulungen &amp; Konferenzen'!D22</f>
        <v>0</v>
      </c>
      <c r="L18" s="20">
        <f>K18-J18</f>
        <v>0</v>
      </c>
      <c r="M18" s="187">
        <f>'Schulungen &amp; Konferenzen'!F22</f>
        <v>3750</v>
      </c>
      <c r="N18" s="88">
        <f>'Schulungen &amp; Konferenzen'!G22</f>
        <v>0</v>
      </c>
      <c r="O18" s="84">
        <f t="shared" si="0"/>
        <v>3750</v>
      </c>
      <c r="P18" s="265">
        <f>'Schulungen &amp; Konferenzen'!I22</f>
        <v>2000</v>
      </c>
      <c r="Q18" s="266">
        <f>'Schulungen &amp; Konferenzen'!J22</f>
        <v>0</v>
      </c>
      <c r="R18" s="267">
        <f>'Schulungen &amp; Konferenzen'!K22</f>
        <v>2000</v>
      </c>
      <c r="S18" s="268">
        <f>'Schulungen &amp; Konferenzen'!L22</f>
        <v>2500</v>
      </c>
      <c r="T18" s="192"/>
    </row>
    <row r="19" spans="1:20" ht="14.65" thickBot="1" x14ac:dyDescent="0.5">
      <c r="A19" s="408">
        <v>4946</v>
      </c>
      <c r="B19" s="602" t="s">
        <v>76</v>
      </c>
      <c r="C19" s="602"/>
      <c r="D19" s="602"/>
      <c r="E19" s="602"/>
      <c r="F19" s="602"/>
      <c r="G19" s="602"/>
      <c r="H19" s="602"/>
      <c r="I19" s="603"/>
      <c r="J19" s="217">
        <f>'Schulungen &amp; Konferenzen'!C14</f>
        <v>1650</v>
      </c>
      <c r="K19" s="217">
        <f>'Schulungen &amp; Konferenzen'!D14</f>
        <v>0</v>
      </c>
      <c r="L19" s="20">
        <f>K19-J19</f>
        <v>-1650</v>
      </c>
      <c r="M19" s="187">
        <f>'Schulungen &amp; Konferenzen'!F14</f>
        <v>8200</v>
      </c>
      <c r="N19" s="88">
        <f>'Schulungen &amp; Konferenzen'!G14</f>
        <v>0</v>
      </c>
      <c r="O19" s="84">
        <f t="shared" si="0"/>
        <v>8200</v>
      </c>
      <c r="P19" s="353">
        <f>'Schulungen &amp; Konferenzen'!I14</f>
        <v>4400</v>
      </c>
      <c r="Q19" s="354">
        <f>'Schulungen &amp; Konferenzen'!J14</f>
        <v>0</v>
      </c>
      <c r="R19" s="355">
        <f>'Schulungen &amp; Konferenzen'!K14</f>
        <v>4400</v>
      </c>
      <c r="S19" s="356">
        <f>'Schulungen &amp; Konferenzen'!L14</f>
        <v>6450</v>
      </c>
      <c r="T19" s="192"/>
    </row>
    <row r="20" spans="1:20" x14ac:dyDescent="0.45">
      <c r="A20" s="408">
        <v>4950</v>
      </c>
      <c r="B20" s="602" t="s">
        <v>3</v>
      </c>
      <c r="C20" s="602"/>
      <c r="D20" s="602"/>
      <c r="E20" s="602"/>
      <c r="F20" s="602"/>
      <c r="G20" s="602"/>
      <c r="H20" s="602"/>
      <c r="I20" s="603"/>
      <c r="J20" s="73"/>
      <c r="K20" s="74"/>
      <c r="L20" s="75"/>
      <c r="M20" s="7">
        <v>1500</v>
      </c>
      <c r="N20" s="8">
        <v>0</v>
      </c>
      <c r="O20" s="84">
        <f t="shared" si="0"/>
        <v>1500</v>
      </c>
      <c r="P20" s="237">
        <v>510</v>
      </c>
      <c r="Q20" s="119">
        <f t="shared" ref="Q20:Q21" si="3">IF(O20&lt;0,IF(P20&gt;0,IF((O20*(-1))&gt;P20,P20,O20*(-1)),0),0)</f>
        <v>0</v>
      </c>
      <c r="R20" s="296">
        <f>IF(OR(Q20&gt;P20,O20+P20&lt;0),makro1(),ROUNDDOWN(P20-Q20,-1))</f>
        <v>510</v>
      </c>
      <c r="S20" s="297">
        <f>IF(O20&gt;0,ROUNDDOWN(O20,-1),0)</f>
        <v>1500</v>
      </c>
      <c r="T20" s="192"/>
    </row>
    <row r="21" spans="1:20" x14ac:dyDescent="0.45">
      <c r="A21" s="408">
        <v>4989</v>
      </c>
      <c r="B21" s="602" t="s">
        <v>4</v>
      </c>
      <c r="C21" s="602"/>
      <c r="D21" s="602"/>
      <c r="E21" s="602"/>
      <c r="F21" s="602"/>
      <c r="G21" s="602"/>
      <c r="H21" s="602"/>
      <c r="I21" s="603"/>
      <c r="J21" s="73"/>
      <c r="K21" s="74"/>
      <c r="L21" s="75"/>
      <c r="M21" s="7">
        <v>2000</v>
      </c>
      <c r="N21" s="8">
        <v>0</v>
      </c>
      <c r="O21" s="84">
        <f t="shared" si="0"/>
        <v>2000</v>
      </c>
      <c r="P21" s="238">
        <v>1910</v>
      </c>
      <c r="Q21" s="119">
        <f t="shared" si="3"/>
        <v>0</v>
      </c>
      <c r="R21" s="219">
        <f>IF(OR(Q21&gt;P21,O21+P21&lt;0),makro1(),ROUNDDOWN(P21-Q21,-1))</f>
        <v>1910</v>
      </c>
      <c r="S21" s="231">
        <f>IF(O21&gt;0,ROUNDDOWN(O21,-1),0)</f>
        <v>2000</v>
      </c>
      <c r="T21" s="192"/>
    </row>
    <row r="22" spans="1:20" s="113" customFormat="1" ht="15.75" thickBot="1" x14ac:dyDescent="0.65">
      <c r="A22" s="562" t="s">
        <v>51</v>
      </c>
      <c r="B22" s="563"/>
      <c r="C22" s="563"/>
      <c r="D22" s="563"/>
      <c r="E22" s="563"/>
      <c r="F22" s="563"/>
      <c r="G22" s="563"/>
      <c r="H22" s="563"/>
      <c r="I22" s="563"/>
      <c r="J22" s="207">
        <f t="shared" ref="J22:O22" si="4">SUM(J6:J21)</f>
        <v>1650</v>
      </c>
      <c r="K22" s="207">
        <f t="shared" si="4"/>
        <v>0</v>
      </c>
      <c r="L22" s="207">
        <f t="shared" si="4"/>
        <v>-1650</v>
      </c>
      <c r="M22" s="25">
        <f t="shared" si="4"/>
        <v>137850</v>
      </c>
      <c r="N22" s="26">
        <f t="shared" si="4"/>
        <v>0</v>
      </c>
      <c r="O22" s="87">
        <f t="shared" si="4"/>
        <v>137850</v>
      </c>
      <c r="P22" s="200">
        <f>SUM(P15:P21)</f>
        <v>9490</v>
      </c>
      <c r="Q22" s="201">
        <f>SUM(Q15:Q21)</f>
        <v>0</v>
      </c>
      <c r="R22" s="230">
        <f>SUM(R15:R21)</f>
        <v>9490</v>
      </c>
      <c r="S22" s="232">
        <f>SUM(S15:S21)</f>
        <v>15150</v>
      </c>
    </row>
    <row r="23" spans="1:20" s="113" customFormat="1" ht="14.65" thickBot="1" x14ac:dyDescent="0.5">
      <c r="A23" s="630" t="s">
        <v>64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2"/>
      <c r="Q23" s="632"/>
      <c r="R23" s="632"/>
      <c r="S23" s="633"/>
    </row>
    <row r="24" spans="1:20" x14ac:dyDescent="0.45">
      <c r="A24" s="120" t="s">
        <v>80</v>
      </c>
      <c r="B24" s="614" t="s">
        <v>52</v>
      </c>
      <c r="C24" s="614"/>
      <c r="D24" s="614"/>
      <c r="E24" s="614"/>
      <c r="F24" s="614"/>
      <c r="G24" s="614"/>
      <c r="H24" s="614"/>
      <c r="I24" s="615"/>
      <c r="J24" s="217">
        <f>Finanzen!D6</f>
        <v>0</v>
      </c>
      <c r="K24" s="121">
        <f>Finanzen!E6</f>
        <v>0</v>
      </c>
      <c r="L24" s="20">
        <f>K24-J24</f>
        <v>0</v>
      </c>
      <c r="M24" s="217">
        <f>Finanzen!G6</f>
        <v>1650</v>
      </c>
      <c r="N24" s="121">
        <f>Finanzen!H6</f>
        <v>0</v>
      </c>
      <c r="O24" s="222">
        <f t="shared" ref="O24:O35" si="5">M24-N24</f>
        <v>1650</v>
      </c>
      <c r="P24" s="225"/>
      <c r="Q24" s="226"/>
      <c r="R24" s="226"/>
      <c r="S24" s="246"/>
    </row>
    <row r="25" spans="1:20" x14ac:dyDescent="0.45">
      <c r="A25" s="122">
        <v>4961</v>
      </c>
      <c r="B25" s="612" t="s">
        <v>53</v>
      </c>
      <c r="C25" s="612"/>
      <c r="D25" s="612"/>
      <c r="E25" s="612"/>
      <c r="F25" s="612"/>
      <c r="G25" s="612"/>
      <c r="H25" s="612"/>
      <c r="I25" s="613"/>
      <c r="J25" s="123">
        <f>Hochschulpolitik!C8</f>
        <v>0</v>
      </c>
      <c r="K25" s="88">
        <f>Hochschulpolitik!D8</f>
        <v>0</v>
      </c>
      <c r="L25" s="19">
        <f t="shared" ref="L25:L35" si="6">K25-J25</f>
        <v>0</v>
      </c>
      <c r="M25" s="123">
        <f>Hochschulpolitik!F8</f>
        <v>850</v>
      </c>
      <c r="N25" s="88">
        <f>Hochschulpolitik!G8</f>
        <v>0</v>
      </c>
      <c r="O25" s="84">
        <f t="shared" si="5"/>
        <v>850</v>
      </c>
      <c r="P25" s="237">
        <f>Hochschulpolitik!I8</f>
        <v>1400</v>
      </c>
      <c r="Q25" s="119">
        <f>Hochschulpolitik!J8</f>
        <v>0</v>
      </c>
      <c r="R25" s="220">
        <f>Hochschulpolitik!K8</f>
        <v>1400</v>
      </c>
      <c r="S25" s="231">
        <f>Hochschulpolitik!L8</f>
        <v>850</v>
      </c>
    </row>
    <row r="26" spans="1:20" x14ac:dyDescent="0.45">
      <c r="A26" s="122">
        <v>4962</v>
      </c>
      <c r="B26" s="612" t="s">
        <v>54</v>
      </c>
      <c r="C26" s="612"/>
      <c r="D26" s="612"/>
      <c r="E26" s="612"/>
      <c r="F26" s="612"/>
      <c r="G26" s="612"/>
      <c r="H26" s="612"/>
      <c r="I26" s="613"/>
      <c r="J26" s="123">
        <f>Internationales!C7</f>
        <v>0</v>
      </c>
      <c r="K26" s="88">
        <f>Internationales!D7</f>
        <v>0</v>
      </c>
      <c r="L26" s="19">
        <f t="shared" si="6"/>
        <v>0</v>
      </c>
      <c r="M26" s="123">
        <f>Internationales!F7</f>
        <v>850</v>
      </c>
      <c r="N26" s="124">
        <f>Internationales!G7</f>
        <v>0</v>
      </c>
      <c r="O26" s="84">
        <f t="shared" si="5"/>
        <v>850</v>
      </c>
      <c r="P26" s="237">
        <f>Internationales!I7</f>
        <v>50</v>
      </c>
      <c r="Q26" s="119">
        <f>Internationales!J7</f>
        <v>0</v>
      </c>
      <c r="R26" s="220">
        <f>Internationales!K7</f>
        <v>50</v>
      </c>
      <c r="S26" s="231">
        <f>Internationales!L7</f>
        <v>600</v>
      </c>
    </row>
    <row r="27" spans="1:20" x14ac:dyDescent="0.45">
      <c r="A27" s="122">
        <v>4963</v>
      </c>
      <c r="B27" s="612" t="s">
        <v>55</v>
      </c>
      <c r="C27" s="612"/>
      <c r="D27" s="612"/>
      <c r="E27" s="612"/>
      <c r="F27" s="612"/>
      <c r="G27" s="612"/>
      <c r="H27" s="612"/>
      <c r="I27" s="613"/>
      <c r="J27" s="123">
        <f>Kultur!C14</f>
        <v>20200</v>
      </c>
      <c r="K27" s="88">
        <f>Kultur!D14</f>
        <v>0</v>
      </c>
      <c r="L27" s="19">
        <f t="shared" si="6"/>
        <v>-20200</v>
      </c>
      <c r="M27" s="129">
        <f>Kultur!F14</f>
        <v>24150</v>
      </c>
      <c r="N27" s="88">
        <f>Kultur!G14</f>
        <v>0</v>
      </c>
      <c r="O27" s="223">
        <f t="shared" si="5"/>
        <v>24150</v>
      </c>
      <c r="P27" s="237">
        <f>Kultur!I14</f>
        <v>2070</v>
      </c>
      <c r="Q27" s="119">
        <f>Kultur!J14</f>
        <v>0</v>
      </c>
      <c r="R27" s="220">
        <f>Kultur!K14</f>
        <v>2070</v>
      </c>
      <c r="S27" s="231">
        <f>Kultur!L14</f>
        <v>24150</v>
      </c>
    </row>
    <row r="28" spans="1:20" x14ac:dyDescent="0.45">
      <c r="A28" s="122">
        <v>4964</v>
      </c>
      <c r="B28" s="612" t="s">
        <v>56</v>
      </c>
      <c r="C28" s="612"/>
      <c r="D28" s="612"/>
      <c r="E28" s="612"/>
      <c r="F28" s="612"/>
      <c r="G28" s="612"/>
      <c r="H28" s="612"/>
      <c r="I28" s="613"/>
      <c r="J28" s="123">
        <f>Öffentlichkeitsarbeit!C9</f>
        <v>2000</v>
      </c>
      <c r="K28" s="88">
        <f>Öffentlichkeitsarbeit!D9</f>
        <v>0</v>
      </c>
      <c r="L28" s="19">
        <f t="shared" si="6"/>
        <v>-2000</v>
      </c>
      <c r="M28" s="123">
        <f>Öffentlichkeitsarbeit!F9</f>
        <v>4400</v>
      </c>
      <c r="N28" s="121">
        <f>Öffentlichkeitsarbeit!G9</f>
        <v>0</v>
      </c>
      <c r="O28" s="84">
        <f t="shared" si="5"/>
        <v>4400</v>
      </c>
      <c r="P28" s="237">
        <f>Öffentlichkeitsarbeit!I9</f>
        <v>3330</v>
      </c>
      <c r="Q28" s="119">
        <f>Öffentlichkeitsarbeit!J9</f>
        <v>0</v>
      </c>
      <c r="R28" s="220">
        <f>Öffentlichkeitsarbeit!K9</f>
        <v>3330</v>
      </c>
      <c r="S28" s="231">
        <f>Öffentlichkeitsarbeit!L9</f>
        <v>4400</v>
      </c>
    </row>
    <row r="29" spans="1:20" x14ac:dyDescent="0.45">
      <c r="A29" s="122">
        <v>4965</v>
      </c>
      <c r="B29" s="612" t="s">
        <v>57</v>
      </c>
      <c r="C29" s="612"/>
      <c r="D29" s="612"/>
      <c r="E29" s="612"/>
      <c r="F29" s="612"/>
      <c r="G29" s="612"/>
      <c r="H29" s="612"/>
      <c r="I29" s="613"/>
      <c r="J29" s="123">
        <f>Qualitätsmanagement!C6</f>
        <v>0</v>
      </c>
      <c r="K29" s="88">
        <f>Qualitätsmanagement!D6</f>
        <v>0</v>
      </c>
      <c r="L29" s="19">
        <f t="shared" si="6"/>
        <v>0</v>
      </c>
      <c r="M29" s="123">
        <f>Qualitätsmanagement!F6</f>
        <v>2750</v>
      </c>
      <c r="N29" s="88">
        <f>Qualitätsmanagement!G6</f>
        <v>0</v>
      </c>
      <c r="O29" s="84">
        <f t="shared" si="5"/>
        <v>2750</v>
      </c>
      <c r="P29" s="237">
        <f>Qualitätsmanagement!I6</f>
        <v>2190</v>
      </c>
      <c r="Q29" s="119">
        <f>Qualitätsmanagement!J6</f>
        <v>0</v>
      </c>
      <c r="R29" s="220">
        <f>Qualitätsmanagement!K6</f>
        <v>2190</v>
      </c>
      <c r="S29" s="231">
        <f>Qualitätsmanagement!L6</f>
        <v>2500</v>
      </c>
    </row>
    <row r="30" spans="1:20" x14ac:dyDescent="0.45">
      <c r="A30" s="122">
        <v>4966</v>
      </c>
      <c r="B30" s="612" t="s">
        <v>58</v>
      </c>
      <c r="C30" s="612"/>
      <c r="D30" s="612"/>
      <c r="E30" s="612"/>
      <c r="F30" s="612"/>
      <c r="G30" s="612"/>
      <c r="H30" s="612"/>
      <c r="I30" s="613"/>
      <c r="J30" s="123">
        <f>Soziales!C7</f>
        <v>0</v>
      </c>
      <c r="K30" s="88">
        <f>Soziales!D7</f>
        <v>0</v>
      </c>
      <c r="L30" s="19">
        <f t="shared" si="6"/>
        <v>0</v>
      </c>
      <c r="M30" s="123">
        <f>Soziales!F7</f>
        <v>650</v>
      </c>
      <c r="N30" s="88">
        <f>Soziales!G7</f>
        <v>0</v>
      </c>
      <c r="O30" s="84">
        <f t="shared" si="5"/>
        <v>650</v>
      </c>
      <c r="P30" s="237">
        <f>Soziales!I7</f>
        <v>1020</v>
      </c>
      <c r="Q30" s="119">
        <f>Soziales!J7</f>
        <v>0</v>
      </c>
      <c r="R30" s="220">
        <f>Soziales!K7</f>
        <v>1020</v>
      </c>
      <c r="S30" s="231">
        <f>Soziales!L7</f>
        <v>450</v>
      </c>
    </row>
    <row r="31" spans="1:20" x14ac:dyDescent="0.45">
      <c r="A31" s="122">
        <v>4967</v>
      </c>
      <c r="B31" s="612" t="s">
        <v>59</v>
      </c>
      <c r="C31" s="612"/>
      <c r="D31" s="612"/>
      <c r="E31" s="612"/>
      <c r="F31" s="612"/>
      <c r="G31" s="612"/>
      <c r="H31" s="612"/>
      <c r="I31" s="613"/>
      <c r="J31" s="123">
        <f>Sport!C9</f>
        <v>0</v>
      </c>
      <c r="K31" s="88">
        <f>Sport!D9</f>
        <v>0</v>
      </c>
      <c r="L31" s="19">
        <f t="shared" si="6"/>
        <v>0</v>
      </c>
      <c r="M31" s="123">
        <f>Sport!F9</f>
        <v>750</v>
      </c>
      <c r="N31" s="88">
        <f>Sport!G9</f>
        <v>0</v>
      </c>
      <c r="O31" s="84">
        <f t="shared" si="5"/>
        <v>750</v>
      </c>
      <c r="P31" s="237">
        <f>Sport!I9</f>
        <v>1190</v>
      </c>
      <c r="Q31" s="119">
        <f>Sport!J9</f>
        <v>0</v>
      </c>
      <c r="R31" s="220">
        <f>Sport!K9</f>
        <v>1190</v>
      </c>
      <c r="S31" s="231">
        <f>Sport!L9</f>
        <v>750</v>
      </c>
    </row>
    <row r="32" spans="1:20" x14ac:dyDescent="0.45">
      <c r="A32" s="122">
        <v>4968</v>
      </c>
      <c r="B32" s="612" t="s">
        <v>60</v>
      </c>
      <c r="C32" s="612"/>
      <c r="D32" s="612"/>
      <c r="E32" s="612"/>
      <c r="F32" s="612"/>
      <c r="G32" s="612"/>
      <c r="H32" s="612"/>
      <c r="I32" s="613"/>
      <c r="J32" s="123">
        <f>Studium!C6</f>
        <v>0</v>
      </c>
      <c r="K32" s="88">
        <f>Studium!D6</f>
        <v>0</v>
      </c>
      <c r="L32" s="19">
        <f t="shared" si="6"/>
        <v>0</v>
      </c>
      <c r="M32" s="123">
        <f>Studium!F6</f>
        <v>200</v>
      </c>
      <c r="N32" s="88">
        <f>Studium!G6</f>
        <v>0</v>
      </c>
      <c r="O32" s="84">
        <f t="shared" si="5"/>
        <v>200</v>
      </c>
      <c r="P32" s="237">
        <f>Studium!I6</f>
        <v>0</v>
      </c>
      <c r="Q32" s="119">
        <f>Studium!J6</f>
        <v>0</v>
      </c>
      <c r="R32" s="220">
        <f>Studium!K6</f>
        <v>0</v>
      </c>
      <c r="S32" s="231">
        <f>Studium!L6</f>
        <v>0</v>
      </c>
    </row>
    <row r="33" spans="1:19" x14ac:dyDescent="0.45">
      <c r="A33" s="122">
        <v>4969</v>
      </c>
      <c r="B33" s="612" t="s">
        <v>61</v>
      </c>
      <c r="C33" s="612"/>
      <c r="D33" s="612"/>
      <c r="E33" s="612"/>
      <c r="F33" s="612"/>
      <c r="G33" s="612"/>
      <c r="H33" s="612"/>
      <c r="I33" s="613"/>
      <c r="J33" s="123">
        <f>'Studentische Verwaltung'!C16</f>
        <v>3800</v>
      </c>
      <c r="K33" s="88">
        <f>'Studentische Verwaltung'!D16</f>
        <v>0</v>
      </c>
      <c r="L33" s="19">
        <f t="shared" si="6"/>
        <v>-3800</v>
      </c>
      <c r="M33" s="123">
        <f>'Studentische Verwaltung'!F16</f>
        <v>6685</v>
      </c>
      <c r="N33" s="88">
        <f>'Studentische Verwaltung'!G16</f>
        <v>0</v>
      </c>
      <c r="O33" s="84">
        <f t="shared" si="5"/>
        <v>6685</v>
      </c>
      <c r="P33" s="237">
        <f>'Studentische Verwaltung'!I16</f>
        <v>18490</v>
      </c>
      <c r="Q33" s="119">
        <f>'Studentische Verwaltung'!J16</f>
        <v>0</v>
      </c>
      <c r="R33" s="220">
        <f>'Studentische Verwaltung'!K16</f>
        <v>18490</v>
      </c>
      <c r="S33" s="231">
        <f>'Studentische Verwaltung'!L16</f>
        <v>6680</v>
      </c>
    </row>
    <row r="34" spans="1:19" x14ac:dyDescent="0.45">
      <c r="A34" s="412" t="s">
        <v>223</v>
      </c>
      <c r="B34" s="618" t="s">
        <v>85</v>
      </c>
      <c r="C34" s="618"/>
      <c r="D34" s="618"/>
      <c r="E34" s="618"/>
      <c r="F34" s="618"/>
      <c r="G34" s="618"/>
      <c r="H34" s="618"/>
      <c r="I34" s="619"/>
      <c r="J34" s="130">
        <v>0</v>
      </c>
      <c r="K34" s="88">
        <v>0</v>
      </c>
      <c r="L34" s="19">
        <f t="shared" si="6"/>
        <v>0</v>
      </c>
      <c r="M34" s="130">
        <v>0</v>
      </c>
      <c r="N34" s="88">
        <v>0</v>
      </c>
      <c r="O34" s="84">
        <f t="shared" si="5"/>
        <v>0</v>
      </c>
      <c r="P34" s="228"/>
      <c r="Q34" s="89"/>
      <c r="R34" s="89"/>
      <c r="S34" s="247"/>
    </row>
    <row r="35" spans="1:19" ht="14.65" thickBot="1" x14ac:dyDescent="0.5">
      <c r="A35" s="413" t="s">
        <v>223</v>
      </c>
      <c r="B35" s="616" t="s">
        <v>74</v>
      </c>
      <c r="C35" s="616"/>
      <c r="D35" s="616"/>
      <c r="E35" s="616"/>
      <c r="F35" s="616"/>
      <c r="G35" s="616"/>
      <c r="H35" s="616"/>
      <c r="I35" s="617"/>
      <c r="J35" s="131">
        <v>0</v>
      </c>
      <c r="K35" s="132">
        <v>0</v>
      </c>
      <c r="L35" s="133">
        <f t="shared" si="6"/>
        <v>0</v>
      </c>
      <c r="M35" s="131">
        <v>0</v>
      </c>
      <c r="N35" s="132">
        <v>0</v>
      </c>
      <c r="O35" s="224">
        <f t="shared" si="5"/>
        <v>0</v>
      </c>
      <c r="P35" s="229"/>
      <c r="Q35" s="89"/>
      <c r="R35" s="89"/>
      <c r="S35" s="247"/>
    </row>
    <row r="36" spans="1:19" s="113" customFormat="1" ht="15.75" thickBot="1" x14ac:dyDescent="0.65">
      <c r="A36" s="562" t="s">
        <v>51</v>
      </c>
      <c r="B36" s="563"/>
      <c r="C36" s="563"/>
      <c r="D36" s="563"/>
      <c r="E36" s="563"/>
      <c r="F36" s="563"/>
      <c r="G36" s="563"/>
      <c r="H36" s="563"/>
      <c r="I36" s="564"/>
      <c r="J36" s="207">
        <f t="shared" ref="J36:O36" si="7">SUM(J24:J35)</f>
        <v>26000</v>
      </c>
      <c r="K36" s="208">
        <f t="shared" si="7"/>
        <v>0</v>
      </c>
      <c r="L36" s="209">
        <f t="shared" si="7"/>
        <v>-26000</v>
      </c>
      <c r="M36" s="210">
        <f t="shared" si="7"/>
        <v>42935</v>
      </c>
      <c r="N36" s="208">
        <f t="shared" si="7"/>
        <v>0</v>
      </c>
      <c r="O36" s="211">
        <f t="shared" si="7"/>
        <v>42935</v>
      </c>
      <c r="P36" s="85">
        <f>SUM(P25:P33)</f>
        <v>29740</v>
      </c>
      <c r="Q36" s="85">
        <f>SUM(Q25:Q33)</f>
        <v>0</v>
      </c>
      <c r="R36" s="85">
        <f>SUM(R25:R33)</f>
        <v>29740</v>
      </c>
      <c r="S36" s="232">
        <f>SUM(S25:S33)</f>
        <v>40380</v>
      </c>
    </row>
    <row r="37" spans="1:19" s="113" customFormat="1" ht="14.65" thickBot="1" x14ac:dyDescent="0.5">
      <c r="A37" s="569" t="s">
        <v>14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1"/>
      <c r="Q37" s="571"/>
      <c r="R37" s="571"/>
      <c r="S37" s="629"/>
    </row>
    <row r="38" spans="1:19" x14ac:dyDescent="0.45">
      <c r="A38" s="411" t="s">
        <v>223</v>
      </c>
      <c r="B38" s="552" t="s">
        <v>15</v>
      </c>
      <c r="C38" s="552"/>
      <c r="D38" s="552"/>
      <c r="E38" s="552"/>
      <c r="F38" s="552"/>
      <c r="G38" s="552"/>
      <c r="H38" s="552"/>
      <c r="I38" s="553"/>
      <c r="J38" s="576"/>
      <c r="K38" s="577"/>
      <c r="L38" s="578"/>
      <c r="M38" s="15">
        <v>0</v>
      </c>
      <c r="N38" s="10">
        <v>0</v>
      </c>
      <c r="O38" s="20">
        <f>M38-N38</f>
        <v>0</v>
      </c>
      <c r="P38" s="590"/>
      <c r="Q38" s="591"/>
      <c r="R38" s="591"/>
      <c r="S38" s="592"/>
    </row>
    <row r="39" spans="1:19" x14ac:dyDescent="0.45">
      <c r="A39" s="410" t="s">
        <v>223</v>
      </c>
      <c r="B39" s="554" t="s">
        <v>16</v>
      </c>
      <c r="C39" s="554"/>
      <c r="D39" s="554"/>
      <c r="E39" s="554"/>
      <c r="F39" s="554"/>
      <c r="G39" s="554"/>
      <c r="H39" s="554"/>
      <c r="I39" s="555"/>
      <c r="J39" s="576"/>
      <c r="K39" s="577"/>
      <c r="L39" s="578"/>
      <c r="M39" s="16">
        <v>0</v>
      </c>
      <c r="N39" s="8">
        <v>0</v>
      </c>
      <c r="O39" s="19">
        <f>M39-N39</f>
        <v>0</v>
      </c>
      <c r="P39" s="593"/>
      <c r="Q39" s="594"/>
      <c r="R39" s="594"/>
      <c r="S39" s="595"/>
    </row>
    <row r="40" spans="1:19" x14ac:dyDescent="0.45">
      <c r="A40" s="122">
        <v>4941</v>
      </c>
      <c r="B40" s="612" t="s">
        <v>179</v>
      </c>
      <c r="C40" s="612"/>
      <c r="D40" s="612"/>
      <c r="E40" s="612"/>
      <c r="F40" s="612"/>
      <c r="G40" s="612"/>
      <c r="H40" s="612"/>
      <c r="I40" s="613"/>
      <c r="J40" s="579"/>
      <c r="K40" s="580"/>
      <c r="L40" s="581"/>
      <c r="M40" s="16">
        <v>2000</v>
      </c>
      <c r="N40" s="8">
        <v>0</v>
      </c>
      <c r="O40" s="19">
        <f>M40-N40</f>
        <v>2000</v>
      </c>
      <c r="P40" s="593"/>
      <c r="Q40" s="594"/>
      <c r="R40" s="594"/>
      <c r="S40" s="595"/>
    </row>
    <row r="41" spans="1:19" s="113" customFormat="1" ht="15.75" thickBot="1" x14ac:dyDescent="0.65">
      <c r="A41" s="562" t="s">
        <v>51</v>
      </c>
      <c r="B41" s="563"/>
      <c r="C41" s="563"/>
      <c r="D41" s="563"/>
      <c r="E41" s="563"/>
      <c r="F41" s="563"/>
      <c r="G41" s="563"/>
      <c r="H41" s="563"/>
      <c r="I41" s="564"/>
      <c r="J41" s="134"/>
      <c r="K41" s="135"/>
      <c r="L41" s="136"/>
      <c r="M41" s="28">
        <f>SUM(M38:M40)</f>
        <v>2000</v>
      </c>
      <c r="N41" s="26">
        <f>SUM(N38:N40)</f>
        <v>0</v>
      </c>
      <c r="O41" s="27">
        <f>SUM(O38:O40)</f>
        <v>2000</v>
      </c>
      <c r="P41" s="574"/>
      <c r="Q41" s="596"/>
      <c r="R41" s="596"/>
      <c r="S41" s="575"/>
    </row>
    <row r="42" spans="1:19" s="113" customFormat="1" ht="14.65" thickBot="1" x14ac:dyDescent="0.5">
      <c r="A42" s="569"/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88"/>
      <c r="Q42" s="588"/>
      <c r="R42" s="588"/>
      <c r="S42" s="589"/>
    </row>
    <row r="43" spans="1:19" ht="19.149999999999999" customHeight="1" thickBot="1" x14ac:dyDescent="0.5">
      <c r="A43" s="549" t="s">
        <v>182</v>
      </c>
      <c r="B43" s="550"/>
      <c r="C43" s="550"/>
      <c r="D43" s="550"/>
      <c r="E43" s="551"/>
      <c r="F43" s="204" t="s">
        <v>81</v>
      </c>
      <c r="G43" s="205" t="s">
        <v>237</v>
      </c>
      <c r="H43" s="204" t="s">
        <v>82</v>
      </c>
      <c r="I43" s="206">
        <v>2020</v>
      </c>
      <c r="J43" s="537"/>
      <c r="K43" s="537"/>
      <c r="L43" s="538"/>
      <c r="M43" s="535"/>
      <c r="N43" s="536"/>
      <c r="O43" s="257"/>
      <c r="P43" s="582"/>
      <c r="Q43" s="583"/>
      <c r="R43" s="583"/>
      <c r="S43" s="584"/>
    </row>
    <row r="44" spans="1:19" ht="18.399999999999999" customHeight="1" thickBot="1" x14ac:dyDescent="0.5">
      <c r="A44" s="540" t="s">
        <v>120</v>
      </c>
      <c r="B44" s="541"/>
      <c r="C44" s="541"/>
      <c r="D44" s="541"/>
      <c r="E44" s="542"/>
      <c r="F44" s="547">
        <v>4650</v>
      </c>
      <c r="G44" s="548"/>
      <c r="H44" s="545">
        <v>4100</v>
      </c>
      <c r="I44" s="546"/>
      <c r="J44" s="539"/>
      <c r="K44" s="537"/>
      <c r="L44" s="538"/>
      <c r="M44" s="532"/>
      <c r="N44" s="533"/>
      <c r="O44" s="534"/>
      <c r="P44" s="585"/>
      <c r="Q44" s="586"/>
      <c r="R44" s="586"/>
      <c r="S44" s="587"/>
    </row>
    <row r="45" spans="1:19" ht="14.65" thickBot="1" x14ac:dyDescent="0.5">
      <c r="A45" s="543" t="s">
        <v>243</v>
      </c>
      <c r="B45" s="544"/>
      <c r="C45" s="544"/>
      <c r="D45" s="544"/>
      <c r="E45" s="544"/>
      <c r="F45" s="544"/>
      <c r="G45" s="544"/>
      <c r="H45" s="544"/>
      <c r="I45" s="125">
        <v>0.5</v>
      </c>
      <c r="J45" s="539"/>
      <c r="K45" s="537"/>
      <c r="L45" s="538"/>
      <c r="M45" s="36">
        <f>ROUND(($F$44+$H$44)*$I$45,-2)</f>
        <v>4400</v>
      </c>
      <c r="N45" s="13">
        <v>0</v>
      </c>
      <c r="O45" s="198">
        <f t="shared" ref="O45" si="8">M45-N45</f>
        <v>4400</v>
      </c>
      <c r="P45" s="269">
        <v>3450</v>
      </c>
      <c r="Q45" s="404">
        <f t="shared" ref="Q45" si="9">IF(O45&lt;0,IF(P45&gt;0,IF((O45*(-1))&gt;P45,P45,O45*(-1)),0),0)</f>
        <v>0</v>
      </c>
      <c r="R45" s="219">
        <f>IF(OR(Q45&gt;P45,O45+P45&lt;0),makro1(),ROUNDDOWN(P45-Q45,-1))</f>
        <v>3450</v>
      </c>
      <c r="S45" s="231">
        <f t="shared" ref="S45" si="10">IF(O45&gt;0,ROUNDDOWN(O45,-1),0)</f>
        <v>4400</v>
      </c>
    </row>
    <row r="46" spans="1:19" s="113" customFormat="1" ht="15.75" thickBot="1" x14ac:dyDescent="0.65">
      <c r="A46" s="559" t="s">
        <v>51</v>
      </c>
      <c r="B46" s="560"/>
      <c r="C46" s="560"/>
      <c r="D46" s="560"/>
      <c r="E46" s="560"/>
      <c r="F46" s="560"/>
      <c r="G46" s="560"/>
      <c r="H46" s="560"/>
      <c r="I46" s="561"/>
      <c r="J46" s="22"/>
      <c r="K46" s="202"/>
      <c r="L46" s="23"/>
      <c r="M46" s="22">
        <f>SUM(M45:M45)</f>
        <v>4400</v>
      </c>
      <c r="N46" s="202">
        <f>SUM(N45:N45)</f>
        <v>0</v>
      </c>
      <c r="O46" s="203">
        <f>SUM(O45:O45)</f>
        <v>4400</v>
      </c>
      <c r="P46" s="199">
        <f>SUM(P45)</f>
        <v>3450</v>
      </c>
      <c r="Q46" s="85">
        <f>SUM(Q45)</f>
        <v>0</v>
      </c>
      <c r="R46" s="85">
        <f>SUM(R45:R45)</f>
        <v>3450</v>
      </c>
      <c r="S46" s="232">
        <f>SUM(S45)</f>
        <v>4400</v>
      </c>
    </row>
    <row r="47" spans="1:19" s="113" customFormat="1" ht="14.65" thickBot="1" x14ac:dyDescent="0.5">
      <c r="A47" s="569" t="s">
        <v>17</v>
      </c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1"/>
      <c r="Q47" s="571"/>
      <c r="R47" s="572"/>
      <c r="S47" s="573"/>
    </row>
    <row r="48" spans="1:19" x14ac:dyDescent="0.45">
      <c r="A48" s="414" t="s">
        <v>223</v>
      </c>
      <c r="B48" s="565" t="s">
        <v>18</v>
      </c>
      <c r="C48" s="565"/>
      <c r="D48" s="565"/>
      <c r="E48" s="565"/>
      <c r="F48" s="565"/>
      <c r="G48" s="565"/>
      <c r="H48" s="565"/>
      <c r="I48" s="566"/>
      <c r="J48" s="576"/>
      <c r="K48" s="577"/>
      <c r="L48" s="578"/>
      <c r="M48" s="14">
        <v>0</v>
      </c>
      <c r="N48" s="17">
        <v>0</v>
      </c>
      <c r="O48" s="20">
        <f>M48-N48</f>
        <v>0</v>
      </c>
      <c r="P48" s="233"/>
      <c r="Q48" s="193"/>
      <c r="R48" s="233"/>
      <c r="S48" s="193"/>
    </row>
    <row r="49" spans="1:19" x14ac:dyDescent="0.45">
      <c r="A49" s="415" t="s">
        <v>223</v>
      </c>
      <c r="B49" s="567" t="s">
        <v>19</v>
      </c>
      <c r="C49" s="567"/>
      <c r="D49" s="567"/>
      <c r="E49" s="567"/>
      <c r="F49" s="567"/>
      <c r="G49" s="567"/>
      <c r="H49" s="567"/>
      <c r="I49" s="568"/>
      <c r="J49" s="576"/>
      <c r="K49" s="577"/>
      <c r="L49" s="578"/>
      <c r="M49" s="21">
        <f>'Detailblatt II'!I6</f>
        <v>2000</v>
      </c>
      <c r="N49" s="126">
        <f>'Detailblatt II'!J6</f>
        <v>0</v>
      </c>
      <c r="O49" s="19">
        <f>M49-N49</f>
        <v>2000</v>
      </c>
      <c r="P49" s="234"/>
      <c r="Q49" s="194"/>
      <c r="R49" s="234"/>
      <c r="S49" s="194"/>
    </row>
    <row r="50" spans="1:19" x14ac:dyDescent="0.45">
      <c r="A50" s="415" t="s">
        <v>223</v>
      </c>
      <c r="B50" s="567" t="s">
        <v>20</v>
      </c>
      <c r="C50" s="567"/>
      <c r="D50" s="567"/>
      <c r="E50" s="567"/>
      <c r="F50" s="567"/>
      <c r="G50" s="567"/>
      <c r="H50" s="567"/>
      <c r="I50" s="568"/>
      <c r="J50" s="576"/>
      <c r="K50" s="577"/>
      <c r="L50" s="578"/>
      <c r="M50" s="21">
        <f>'Detailblatt II'!I11</f>
        <v>4100</v>
      </c>
      <c r="N50" s="126">
        <f>'Detailblatt II'!J11</f>
        <v>0</v>
      </c>
      <c r="O50" s="19">
        <f>M50-N50</f>
        <v>4100</v>
      </c>
      <c r="P50" s="234"/>
      <c r="Q50" s="194"/>
      <c r="R50" s="234"/>
      <c r="S50" s="194"/>
    </row>
    <row r="51" spans="1:19" x14ac:dyDescent="0.45">
      <c r="A51" s="415" t="s">
        <v>223</v>
      </c>
      <c r="B51" s="567" t="s">
        <v>21</v>
      </c>
      <c r="C51" s="567"/>
      <c r="D51" s="567"/>
      <c r="E51" s="567"/>
      <c r="F51" s="567"/>
      <c r="G51" s="567"/>
      <c r="H51" s="567"/>
      <c r="I51" s="568"/>
      <c r="J51" s="579"/>
      <c r="K51" s="580"/>
      <c r="L51" s="581"/>
      <c r="M51" s="18">
        <v>0</v>
      </c>
      <c r="N51" s="8">
        <v>0</v>
      </c>
      <c r="O51" s="19">
        <f>M51-N51</f>
        <v>0</v>
      </c>
      <c r="P51" s="234"/>
      <c r="Q51" s="194"/>
      <c r="R51" s="234"/>
      <c r="S51" s="194"/>
    </row>
    <row r="52" spans="1:19" ht="15.75" thickBot="1" x14ac:dyDescent="0.65">
      <c r="A52" s="562" t="s">
        <v>51</v>
      </c>
      <c r="B52" s="563"/>
      <c r="C52" s="563"/>
      <c r="D52" s="563"/>
      <c r="E52" s="563"/>
      <c r="F52" s="563"/>
      <c r="G52" s="563"/>
      <c r="H52" s="563"/>
      <c r="I52" s="564"/>
      <c r="J52" s="137"/>
      <c r="K52" s="138"/>
      <c r="L52" s="139"/>
      <c r="M52" s="22">
        <f>SUM(M48:M51)</f>
        <v>6100</v>
      </c>
      <c r="N52" s="45">
        <f>SUM(N48:N51)</f>
        <v>0</v>
      </c>
      <c r="O52" s="23">
        <f>SUM(O48:O51)</f>
        <v>6100</v>
      </c>
      <c r="P52" s="574"/>
      <c r="Q52" s="575"/>
      <c r="R52" s="235"/>
      <c r="S52" s="195"/>
    </row>
    <row r="53" spans="1:19" s="263" customFormat="1" ht="14.65" thickBot="1" x14ac:dyDescent="0.5">
      <c r="A53" s="556" t="s">
        <v>65</v>
      </c>
      <c r="B53" s="557"/>
      <c r="C53" s="557"/>
      <c r="D53" s="557"/>
      <c r="E53" s="557"/>
      <c r="F53" s="557"/>
      <c r="G53" s="557"/>
      <c r="H53" s="557"/>
      <c r="I53" s="558"/>
      <c r="J53" s="24">
        <f>SUM(J46,J41,J36,J22)</f>
        <v>27650</v>
      </c>
      <c r="K53" s="24">
        <f>SUM(K46,K41,K36,K22)</f>
        <v>0</v>
      </c>
      <c r="L53" s="24">
        <f>SUM(L46,L41,L36,L22)</f>
        <v>-27650</v>
      </c>
      <c r="M53" s="24">
        <f>SUM(M52,M46,M41,M36,M22)</f>
        <v>193285</v>
      </c>
      <c r="N53" s="43">
        <f>SUM(N52,N46,N41,N36,N22)</f>
        <v>0</v>
      </c>
      <c r="O53" s="43">
        <f>SUM(O52,O46,O41,O36,O22)</f>
        <v>193285</v>
      </c>
      <c r="P53" s="239">
        <f>SUM(P22,P36,P46)</f>
        <v>42680</v>
      </c>
      <c r="Q53" s="96">
        <f>SUM(Q46,Q36,Q22)</f>
        <v>0</v>
      </c>
      <c r="R53" s="236">
        <f>R22+R36+R45</f>
        <v>42680</v>
      </c>
      <c r="S53" s="262">
        <f>SUM(S45,S36,S22)</f>
        <v>59930</v>
      </c>
    </row>
    <row r="54" spans="1:19" x14ac:dyDescent="0.45">
      <c r="J54" s="127"/>
      <c r="K54" s="127"/>
      <c r="L54" s="127"/>
      <c r="M54" s="127"/>
      <c r="N54" s="127"/>
      <c r="O54" s="127"/>
    </row>
  </sheetData>
  <customSheetViews>
    <customSheetView guid="{DCE90488-5D47-411B-84E2-3F0A7D96BA08}" topLeftCell="B1">
      <pane ySplit="2" topLeftCell="A33" activePane="bottomLeft" state="frozen"/>
      <selection pane="bottomLeft" activeCell="M42" sqref="M42"/>
      <pageMargins left="0.7" right="0.7" top="0.78740157499999996" bottom="0.78740157499999996" header="0.3" footer="0.3"/>
      <pageSetup paperSize="9" orientation="landscape" r:id="rId1"/>
    </customSheetView>
  </customSheetViews>
  <mergeCells count="75">
    <mergeCell ref="S1:S2"/>
    <mergeCell ref="A3:S3"/>
    <mergeCell ref="A4:S4"/>
    <mergeCell ref="A37:S37"/>
    <mergeCell ref="A23:S23"/>
    <mergeCell ref="Q1:Q2"/>
    <mergeCell ref="O7:O10"/>
    <mergeCell ref="F1:I2"/>
    <mergeCell ref="E1:E2"/>
    <mergeCell ref="A1:D2"/>
    <mergeCell ref="B5:I5"/>
    <mergeCell ref="B30:I30"/>
    <mergeCell ref="B29:I29"/>
    <mergeCell ref="B28:I28"/>
    <mergeCell ref="B27:I27"/>
    <mergeCell ref="B26:I26"/>
    <mergeCell ref="B35:I35"/>
    <mergeCell ref="B34:I34"/>
    <mergeCell ref="B33:I33"/>
    <mergeCell ref="B32:I32"/>
    <mergeCell ref="B31:I31"/>
    <mergeCell ref="A36:I36"/>
    <mergeCell ref="A41:I41"/>
    <mergeCell ref="M5:O5"/>
    <mergeCell ref="J1:L1"/>
    <mergeCell ref="M1:O1"/>
    <mergeCell ref="B40:I40"/>
    <mergeCell ref="B19:I19"/>
    <mergeCell ref="B18:I18"/>
    <mergeCell ref="B17:I17"/>
    <mergeCell ref="B16:I16"/>
    <mergeCell ref="B24:I24"/>
    <mergeCell ref="B15:I15"/>
    <mergeCell ref="B25:I25"/>
    <mergeCell ref="B20:I20"/>
    <mergeCell ref="A22:I22"/>
    <mergeCell ref="B21:I21"/>
    <mergeCell ref="P1:P2"/>
    <mergeCell ref="R1:R2"/>
    <mergeCell ref="B6:B10"/>
    <mergeCell ref="B14:I14"/>
    <mergeCell ref="B12:I12"/>
    <mergeCell ref="B11:I11"/>
    <mergeCell ref="C10:I10"/>
    <mergeCell ref="C6:I6"/>
    <mergeCell ref="M8:M10"/>
    <mergeCell ref="C9:I9"/>
    <mergeCell ref="C8:I8"/>
    <mergeCell ref="C7:I7"/>
    <mergeCell ref="B13:I13"/>
    <mergeCell ref="B38:I38"/>
    <mergeCell ref="B39:I39"/>
    <mergeCell ref="A53:I53"/>
    <mergeCell ref="A46:I46"/>
    <mergeCell ref="A52:I52"/>
    <mergeCell ref="B48:I48"/>
    <mergeCell ref="B49:I49"/>
    <mergeCell ref="B50:I50"/>
    <mergeCell ref="B51:I51"/>
    <mergeCell ref="A47:S47"/>
    <mergeCell ref="P52:Q52"/>
    <mergeCell ref="J48:L51"/>
    <mergeCell ref="P43:S44"/>
    <mergeCell ref="A42:S42"/>
    <mergeCell ref="P38:S41"/>
    <mergeCell ref="J38:L40"/>
    <mergeCell ref="M44:O44"/>
    <mergeCell ref="M43:N43"/>
    <mergeCell ref="J43:L44"/>
    <mergeCell ref="A44:E44"/>
    <mergeCell ref="J45:L45"/>
    <mergeCell ref="A45:H45"/>
    <mergeCell ref="H44:I44"/>
    <mergeCell ref="F44:G44"/>
    <mergeCell ref="A43:E43"/>
  </mergeCells>
  <pageMargins left="0.7" right="0.7" top="0.78740157499999996" bottom="0.78740157499999996" header="0.3" footer="0.3"/>
  <pageSetup paperSize="8" scale="7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L30"/>
  <sheetViews>
    <sheetView zoomScale="90" zoomScaleNormal="90" workbookViewId="0">
      <pane ySplit="2" topLeftCell="A3" activePane="bottomLeft" state="frozen"/>
      <selection activeCell="E14" sqref="E14"/>
      <selection pane="bottomLeft" activeCell="F19" sqref="F19"/>
    </sheetView>
  </sheetViews>
  <sheetFormatPr baseColWidth="10" defaultRowHeight="14.25" x14ac:dyDescent="0.45"/>
  <cols>
    <col min="1" max="1" width="21.265625" bestFit="1" customWidth="1"/>
    <col min="2" max="2" width="8.46484375" style="1" bestFit="1" customWidth="1"/>
    <col min="3" max="3" width="3.46484375" customWidth="1"/>
    <col min="4" max="4" width="14.73046875" customWidth="1"/>
    <col min="5" max="5" width="8.73046875" bestFit="1" customWidth="1"/>
    <col min="6" max="6" width="13" bestFit="1" customWidth="1"/>
    <col min="7" max="7" width="13.73046875" bestFit="1" customWidth="1"/>
    <col min="8" max="8" width="14.796875" bestFit="1" customWidth="1"/>
    <col min="9" max="9" width="12.796875" customWidth="1"/>
    <col min="10" max="10" width="12.73046875" bestFit="1" customWidth="1"/>
    <col min="11" max="11" width="13.265625" bestFit="1" customWidth="1"/>
  </cols>
  <sheetData>
    <row r="1" spans="1:12" x14ac:dyDescent="0.45">
      <c r="A1" s="640" t="s">
        <v>84</v>
      </c>
      <c r="B1" s="641" t="s">
        <v>62</v>
      </c>
      <c r="C1" s="518">
        <f>'Detailblatt I'!F1</f>
        <v>2020</v>
      </c>
      <c r="D1" s="518"/>
      <c r="E1" s="668" t="s">
        <v>24</v>
      </c>
      <c r="F1" s="670" t="s">
        <v>67</v>
      </c>
      <c r="G1" s="666"/>
      <c r="H1" s="671"/>
      <c r="I1" s="665" t="s">
        <v>63</v>
      </c>
      <c r="J1" s="666"/>
      <c r="K1" s="667"/>
      <c r="L1" s="29"/>
    </row>
    <row r="2" spans="1:12" ht="14.65" thickBot="1" x14ac:dyDescent="0.5">
      <c r="A2" s="643"/>
      <c r="B2" s="644"/>
      <c r="C2" s="639"/>
      <c r="D2" s="639"/>
      <c r="E2" s="669"/>
      <c r="F2" s="52" t="s">
        <v>68</v>
      </c>
      <c r="G2" s="47" t="s">
        <v>69</v>
      </c>
      <c r="H2" s="48" t="s">
        <v>66</v>
      </c>
      <c r="I2" s="46" t="s">
        <v>68</v>
      </c>
      <c r="J2" s="49" t="s">
        <v>69</v>
      </c>
      <c r="K2" s="50" t="s">
        <v>66</v>
      </c>
      <c r="L2" s="35"/>
    </row>
    <row r="3" spans="1:12" ht="14.65" thickBot="1" x14ac:dyDescent="0.5">
      <c r="A3" s="146" t="s">
        <v>39</v>
      </c>
      <c r="B3" s="147"/>
      <c r="C3" s="147"/>
      <c r="D3" s="147"/>
      <c r="E3" s="148"/>
      <c r="F3" s="147"/>
      <c r="G3" s="147"/>
      <c r="H3" s="147"/>
      <c r="I3" s="147"/>
      <c r="J3" s="147"/>
      <c r="K3" s="149"/>
      <c r="L3" s="150"/>
    </row>
    <row r="4" spans="1:12" x14ac:dyDescent="0.45">
      <c r="A4" s="649" t="s">
        <v>40</v>
      </c>
      <c r="B4" s="650"/>
      <c r="C4" s="650"/>
      <c r="D4" s="651"/>
      <c r="E4" s="142">
        <v>1</v>
      </c>
      <c r="F4" s="9">
        <v>0</v>
      </c>
      <c r="G4" s="10">
        <v>0</v>
      </c>
      <c r="H4" s="20">
        <f>G4-F4</f>
        <v>0</v>
      </c>
      <c r="I4" s="11">
        <v>1350</v>
      </c>
      <c r="J4" s="10">
        <v>0</v>
      </c>
      <c r="K4" s="20">
        <f>I4-J4</f>
        <v>1350</v>
      </c>
      <c r="L4" s="150"/>
    </row>
    <row r="5" spans="1:12" x14ac:dyDescent="0.45">
      <c r="A5" s="652" t="s">
        <v>41</v>
      </c>
      <c r="B5" s="653"/>
      <c r="C5" s="653"/>
      <c r="D5" s="654"/>
      <c r="E5" s="143">
        <v>1</v>
      </c>
      <c r="F5" s="12">
        <v>0</v>
      </c>
      <c r="G5" s="8">
        <v>0</v>
      </c>
      <c r="H5" s="20">
        <f>G5-F5</f>
        <v>0</v>
      </c>
      <c r="I5" s="7">
        <v>650</v>
      </c>
      <c r="J5" s="8">
        <v>0</v>
      </c>
      <c r="K5" s="19">
        <f>I5-J5</f>
        <v>650</v>
      </c>
      <c r="L5" s="150"/>
    </row>
    <row r="6" spans="1:12" ht="14.65" thickBot="1" x14ac:dyDescent="0.5">
      <c r="A6" s="151"/>
      <c r="B6" s="152"/>
      <c r="C6" s="152"/>
      <c r="D6" s="647" t="s">
        <v>51</v>
      </c>
      <c r="E6" s="647"/>
      <c r="F6" s="153">
        <f>SUM(F4:F5)</f>
        <v>0</v>
      </c>
      <c r="G6" s="154">
        <f>SUM(G4:G5)</f>
        <v>0</v>
      </c>
      <c r="H6" s="155">
        <f t="shared" ref="H6:K6" si="0">SUM(H4:H5)</f>
        <v>0</v>
      </c>
      <c r="I6" s="153">
        <f t="shared" si="0"/>
        <v>2000</v>
      </c>
      <c r="J6" s="154">
        <f t="shared" si="0"/>
        <v>0</v>
      </c>
      <c r="K6" s="155">
        <f t="shared" si="0"/>
        <v>2000</v>
      </c>
      <c r="L6" s="150"/>
    </row>
    <row r="7" spans="1:12" ht="14.65" thickBot="1" x14ac:dyDescent="0.5">
      <c r="A7" s="146" t="s">
        <v>42</v>
      </c>
      <c r="B7" s="147"/>
      <c r="C7" s="147"/>
      <c r="D7" s="147"/>
      <c r="E7" s="147"/>
      <c r="F7" s="156"/>
      <c r="G7" s="156"/>
      <c r="H7" s="156"/>
      <c r="I7" s="156"/>
      <c r="J7" s="156"/>
      <c r="K7" s="157"/>
      <c r="L7" s="150"/>
    </row>
    <row r="8" spans="1:12" x14ac:dyDescent="0.45">
      <c r="A8" s="649" t="s">
        <v>86</v>
      </c>
      <c r="B8" s="650"/>
      <c r="C8" s="650"/>
      <c r="D8" s="651"/>
      <c r="E8" s="144"/>
      <c r="F8" s="9">
        <v>0</v>
      </c>
      <c r="G8" s="10">
        <v>0</v>
      </c>
      <c r="H8" s="20">
        <f>G8-F8</f>
        <v>0</v>
      </c>
      <c r="I8" s="11">
        <v>600</v>
      </c>
      <c r="J8" s="10">
        <v>0</v>
      </c>
      <c r="K8" s="20">
        <f>I8-J8</f>
        <v>600</v>
      </c>
      <c r="L8" s="150"/>
    </row>
    <row r="9" spans="1:12" x14ac:dyDescent="0.45">
      <c r="A9" s="652" t="s">
        <v>159</v>
      </c>
      <c r="B9" s="653"/>
      <c r="C9" s="653"/>
      <c r="D9" s="654"/>
      <c r="E9" s="143">
        <v>1</v>
      </c>
      <c r="F9" s="12">
        <v>0</v>
      </c>
      <c r="G9" s="8">
        <v>0</v>
      </c>
      <c r="H9" s="20">
        <f>G9-F9</f>
        <v>0</v>
      </c>
      <c r="I9" s="7">
        <v>3500</v>
      </c>
      <c r="J9" s="8">
        <v>0</v>
      </c>
      <c r="K9" s="19">
        <f>I9-J9</f>
        <v>3500</v>
      </c>
      <c r="L9" s="150"/>
    </row>
    <row r="10" spans="1:12" x14ac:dyDescent="0.45">
      <c r="A10" s="652" t="s">
        <v>94</v>
      </c>
      <c r="B10" s="653"/>
      <c r="C10" s="653"/>
      <c r="D10" s="654"/>
      <c r="E10" s="145"/>
      <c r="F10" s="12">
        <v>0</v>
      </c>
      <c r="G10" s="8">
        <v>0</v>
      </c>
      <c r="H10" s="20">
        <f>G10-F10</f>
        <v>0</v>
      </c>
      <c r="I10" s="7">
        <v>0</v>
      </c>
      <c r="J10" s="8">
        <v>0</v>
      </c>
      <c r="K10" s="19">
        <f>I10-J10</f>
        <v>0</v>
      </c>
      <c r="L10" s="150"/>
    </row>
    <row r="11" spans="1:12" ht="14.65" thickBot="1" x14ac:dyDescent="0.5">
      <c r="A11" s="158"/>
      <c r="B11" s="159"/>
      <c r="C11" s="159"/>
      <c r="D11" s="648" t="s">
        <v>51</v>
      </c>
      <c r="E11" s="648"/>
      <c r="F11" s="153">
        <f>SUM(F8:F10)</f>
        <v>0</v>
      </c>
      <c r="G11" s="154">
        <f t="shared" ref="G11:K11" si="1">SUM(G8:G10)</f>
        <v>0</v>
      </c>
      <c r="H11" s="154">
        <f t="shared" si="1"/>
        <v>0</v>
      </c>
      <c r="I11" s="153">
        <f t="shared" si="1"/>
        <v>4100</v>
      </c>
      <c r="J11" s="154">
        <f t="shared" si="1"/>
        <v>0</v>
      </c>
      <c r="K11" s="155">
        <f t="shared" si="1"/>
        <v>4100</v>
      </c>
      <c r="L11" s="150"/>
    </row>
    <row r="12" spans="1:12" ht="14.65" thickBot="1" x14ac:dyDescent="0.5">
      <c r="A12" s="146" t="s">
        <v>38</v>
      </c>
      <c r="B12" s="147"/>
      <c r="C12" s="147"/>
      <c r="D12" s="147"/>
      <c r="E12" s="147"/>
      <c r="F12" s="156"/>
      <c r="G12" s="156"/>
      <c r="H12" s="156"/>
      <c r="I12" s="156"/>
      <c r="J12" s="156"/>
      <c r="K12" s="157"/>
      <c r="L12" s="150"/>
    </row>
    <row r="13" spans="1:12" s="63" customFormat="1" ht="21" customHeight="1" x14ac:dyDescent="0.45">
      <c r="A13" s="160" t="s">
        <v>184</v>
      </c>
      <c r="B13" s="161">
        <v>18</v>
      </c>
      <c r="C13" s="655" t="s">
        <v>225</v>
      </c>
      <c r="D13" s="162">
        <v>4654</v>
      </c>
      <c r="E13" s="163">
        <v>1</v>
      </c>
      <c r="F13" s="164">
        <f>ROUND((($B$13*$D$13)/6)*2,-2)</f>
        <v>27900</v>
      </c>
      <c r="G13" s="60">
        <v>0</v>
      </c>
      <c r="H13" s="61">
        <f>G13-F13</f>
        <v>-27900</v>
      </c>
      <c r="I13" s="62">
        <v>0</v>
      </c>
      <c r="J13" s="60">
        <v>0</v>
      </c>
      <c r="K13" s="61">
        <f>I13-J13</f>
        <v>0</v>
      </c>
      <c r="L13" s="110"/>
    </row>
    <row r="14" spans="1:12" s="63" customFormat="1" ht="21" customHeight="1" x14ac:dyDescent="0.45">
      <c r="A14" s="165" t="s">
        <v>238</v>
      </c>
      <c r="B14" s="166">
        <v>15.5</v>
      </c>
      <c r="C14" s="655"/>
      <c r="D14" s="167">
        <v>4100</v>
      </c>
      <c r="E14" s="168">
        <v>1</v>
      </c>
      <c r="F14" s="106">
        <f>ROUND($B$14*$D$14,-2)</f>
        <v>63600</v>
      </c>
      <c r="G14" s="65">
        <v>0</v>
      </c>
      <c r="H14" s="61">
        <f>G14-F14</f>
        <v>-63600</v>
      </c>
      <c r="I14" s="66">
        <v>0</v>
      </c>
      <c r="J14" s="65">
        <v>0</v>
      </c>
      <c r="K14" s="67">
        <f>I14-J14</f>
        <v>0</v>
      </c>
      <c r="L14" s="110"/>
    </row>
    <row r="15" spans="1:12" s="63" customFormat="1" ht="21" customHeight="1" x14ac:dyDescent="0.45">
      <c r="A15" s="165" t="s">
        <v>239</v>
      </c>
      <c r="B15" s="166">
        <v>15.5</v>
      </c>
      <c r="C15" s="656"/>
      <c r="D15" s="167">
        <v>4650</v>
      </c>
      <c r="E15" s="168">
        <v>1</v>
      </c>
      <c r="F15" s="106">
        <f>ROUND((($B$15*$D$15)/6)*4,-2)</f>
        <v>48100</v>
      </c>
      <c r="G15" s="65">
        <v>0</v>
      </c>
      <c r="H15" s="61">
        <f>G15-F15</f>
        <v>-48100</v>
      </c>
      <c r="I15" s="66">
        <v>0</v>
      </c>
      <c r="J15" s="68">
        <v>0</v>
      </c>
      <c r="K15" s="67">
        <f>I15-J15</f>
        <v>0</v>
      </c>
      <c r="L15" s="110"/>
    </row>
    <row r="16" spans="1:12" ht="14.65" thickBot="1" x14ac:dyDescent="0.5">
      <c r="A16" s="151"/>
      <c r="B16" s="152"/>
      <c r="C16" s="152"/>
      <c r="D16" s="647" t="s">
        <v>51</v>
      </c>
      <c r="E16" s="647"/>
      <c r="F16" s="153">
        <f>SUM(F13:F15)</f>
        <v>139600</v>
      </c>
      <c r="G16" s="154">
        <f>SUM(G13:G15)</f>
        <v>0</v>
      </c>
      <c r="H16" s="155">
        <f t="shared" ref="H16:K16" si="2">SUM(H13:H15)</f>
        <v>-139600</v>
      </c>
      <c r="I16" s="153">
        <f t="shared" si="2"/>
        <v>0</v>
      </c>
      <c r="J16" s="154">
        <f t="shared" si="2"/>
        <v>0</v>
      </c>
      <c r="K16" s="155">
        <f t="shared" si="2"/>
        <v>0</v>
      </c>
      <c r="L16" s="150"/>
    </row>
    <row r="17" spans="1:12" ht="14.65" thickBot="1" x14ac:dyDescent="0.5">
      <c r="A17" s="146" t="s">
        <v>106</v>
      </c>
      <c r="B17" s="147"/>
      <c r="C17" s="147"/>
      <c r="D17" s="147"/>
      <c r="E17" s="147"/>
      <c r="F17" s="156"/>
      <c r="G17" s="156"/>
      <c r="H17" s="156"/>
      <c r="I17" s="156"/>
      <c r="J17" s="156"/>
      <c r="K17" s="157"/>
      <c r="L17" s="150"/>
    </row>
    <row r="18" spans="1:12" x14ac:dyDescent="0.45">
      <c r="A18" s="662" t="s">
        <v>181</v>
      </c>
      <c r="B18" s="663"/>
      <c r="C18" s="663"/>
      <c r="D18" s="663"/>
      <c r="E18" s="664"/>
      <c r="F18" s="258">
        <f>'fortgeschr. Mittel+Konto'!D9</f>
        <v>149253.13000000006</v>
      </c>
      <c r="G18" s="259"/>
      <c r="H18" s="295">
        <f t="shared" ref="H18:H21" si="3">G18-F18</f>
        <v>-149253.13000000006</v>
      </c>
      <c r="I18" s="11">
        <v>0</v>
      </c>
      <c r="J18" s="10">
        <v>0</v>
      </c>
      <c r="K18" s="20">
        <f>I18-J18</f>
        <v>0</v>
      </c>
      <c r="L18" s="150"/>
    </row>
    <row r="19" spans="1:12" x14ac:dyDescent="0.45">
      <c r="A19" s="659" t="s">
        <v>174</v>
      </c>
      <c r="B19" s="660"/>
      <c r="C19" s="660"/>
      <c r="D19" s="660"/>
      <c r="E19" s="661"/>
      <c r="F19" s="281">
        <f>Deckblatt!C7</f>
        <v>0</v>
      </c>
      <c r="G19" s="287"/>
      <c r="H19" s="293">
        <f t="shared" si="3"/>
        <v>0</v>
      </c>
      <c r="I19" s="289">
        <f>IF(F18&lt;Mindestreserve!D17,Mindestreserve!D17-F18,0)</f>
        <v>0</v>
      </c>
      <c r="J19" s="288"/>
      <c r="K19" s="294">
        <f>I19-J19</f>
        <v>0</v>
      </c>
      <c r="L19" s="150"/>
    </row>
    <row r="20" spans="1:12" x14ac:dyDescent="0.45">
      <c r="A20" s="657" t="s">
        <v>107</v>
      </c>
      <c r="B20" s="612"/>
      <c r="C20" s="612"/>
      <c r="D20" s="658"/>
      <c r="E20" s="173"/>
      <c r="F20" s="12">
        <v>0</v>
      </c>
      <c r="G20" s="8">
        <v>0</v>
      </c>
      <c r="H20" s="20">
        <f t="shared" si="3"/>
        <v>0</v>
      </c>
      <c r="I20" s="7">
        <v>0</v>
      </c>
      <c r="J20" s="8">
        <v>0</v>
      </c>
      <c r="K20" s="19">
        <f>I20-J20</f>
        <v>0</v>
      </c>
      <c r="L20" s="150"/>
    </row>
    <row r="21" spans="1:12" x14ac:dyDescent="0.45">
      <c r="A21" s="657" t="s">
        <v>210</v>
      </c>
      <c r="B21" s="612"/>
      <c r="C21" s="612"/>
      <c r="D21" s="658"/>
      <c r="E21" s="174"/>
      <c r="F21" s="12">
        <f>Deckblatt!C6*(-1)</f>
        <v>-195</v>
      </c>
      <c r="G21" s="8">
        <v>0</v>
      </c>
      <c r="H21" s="19">
        <f t="shared" si="3"/>
        <v>195</v>
      </c>
      <c r="I21" s="7">
        <f>Deckblatt!F6</f>
        <v>0</v>
      </c>
      <c r="J21" s="13">
        <v>0</v>
      </c>
      <c r="K21" s="19">
        <f>I21-J21</f>
        <v>0</v>
      </c>
      <c r="L21" s="150"/>
    </row>
    <row r="22" spans="1:12" ht="14.65" thickBot="1" x14ac:dyDescent="0.5">
      <c r="A22" s="169"/>
      <c r="B22" s="170"/>
      <c r="C22" s="170"/>
      <c r="D22" s="647" t="s">
        <v>51</v>
      </c>
      <c r="E22" s="647"/>
      <c r="F22" s="171">
        <f t="shared" ref="F22:K22" si="4">SUM(F18:F21)</f>
        <v>149058.13000000006</v>
      </c>
      <c r="G22" s="154">
        <f t="shared" si="4"/>
        <v>0</v>
      </c>
      <c r="H22" s="172">
        <f t="shared" si="4"/>
        <v>-149058.13000000006</v>
      </c>
      <c r="I22" s="282">
        <f t="shared" si="4"/>
        <v>0</v>
      </c>
      <c r="J22" s="154">
        <f t="shared" si="4"/>
        <v>0</v>
      </c>
      <c r="K22" s="155">
        <f t="shared" si="4"/>
        <v>0</v>
      </c>
      <c r="L22" s="112"/>
    </row>
    <row r="23" spans="1:12" ht="14.65" thickBot="1" x14ac:dyDescent="0.5">
      <c r="A23" s="556" t="s">
        <v>65</v>
      </c>
      <c r="B23" s="557"/>
      <c r="C23" s="557"/>
      <c r="D23" s="557"/>
      <c r="E23" s="558"/>
      <c r="F23" s="51">
        <f>SUM(F16,F11,F6)</f>
        <v>139600</v>
      </c>
      <c r="G23" s="51">
        <f>SUM(G16,G11,G6)</f>
        <v>0</v>
      </c>
      <c r="H23" s="51">
        <f>SUM(H16,H11,H6)</f>
        <v>-139600</v>
      </c>
      <c r="I23" s="51">
        <f>SUM(I16,I11,I6)</f>
        <v>6100</v>
      </c>
      <c r="J23" s="51">
        <f t="shared" ref="J23:K23" si="5">SUM(J16,J11,J6)</f>
        <v>0</v>
      </c>
      <c r="K23" s="51">
        <f t="shared" si="5"/>
        <v>6100</v>
      </c>
      <c r="L23" s="112"/>
    </row>
    <row r="24" spans="1:12" x14ac:dyDescent="0.45">
      <c r="A24" s="3"/>
      <c r="B24" s="6"/>
      <c r="L24" s="112"/>
    </row>
    <row r="25" spans="1:12" x14ac:dyDescent="0.45">
      <c r="A25" s="3"/>
      <c r="B25" s="6"/>
      <c r="L25" s="112"/>
    </row>
    <row r="26" spans="1:12" x14ac:dyDescent="0.45">
      <c r="A26" s="2"/>
      <c r="B26" s="6"/>
    </row>
    <row r="27" spans="1:12" x14ac:dyDescent="0.45">
      <c r="A27" s="3"/>
      <c r="B27" s="6"/>
    </row>
    <row r="28" spans="1:12" x14ac:dyDescent="0.45">
      <c r="F28" s="302"/>
    </row>
    <row r="30" spans="1:12" x14ac:dyDescent="0.45">
      <c r="F30" s="300"/>
    </row>
  </sheetData>
  <customSheetViews>
    <customSheetView guid="{DCE90488-5D47-411B-84E2-3F0A7D96BA08}">
      <pane ySplit="1" topLeftCell="A2" activePane="bottomLeft" state="frozen"/>
      <selection pane="bottomLeft" activeCell="A2" sqref="A2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mergeCells count="21">
    <mergeCell ref="I1:K1"/>
    <mergeCell ref="C1:D2"/>
    <mergeCell ref="A1:A2"/>
    <mergeCell ref="E1:E2"/>
    <mergeCell ref="B1:B2"/>
    <mergeCell ref="F1:H1"/>
    <mergeCell ref="A23:E23"/>
    <mergeCell ref="D22:E22"/>
    <mergeCell ref="D16:E16"/>
    <mergeCell ref="D11:E11"/>
    <mergeCell ref="A4:D4"/>
    <mergeCell ref="A5:D5"/>
    <mergeCell ref="D6:E6"/>
    <mergeCell ref="C13:C15"/>
    <mergeCell ref="A20:D20"/>
    <mergeCell ref="A21:D21"/>
    <mergeCell ref="A8:D8"/>
    <mergeCell ref="A9:D9"/>
    <mergeCell ref="A10:D10"/>
    <mergeCell ref="A19:E19"/>
    <mergeCell ref="A18:E18"/>
  </mergeCells>
  <pageMargins left="0.7" right="0.7" top="0.78740157499999996" bottom="0.78740157499999996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M25"/>
  <sheetViews>
    <sheetView zoomScale="105" zoomScaleNormal="130" workbookViewId="0">
      <selection activeCell="F25" sqref="F25"/>
    </sheetView>
  </sheetViews>
  <sheetFormatPr baseColWidth="10" defaultRowHeight="14.25" x14ac:dyDescent="0.45"/>
  <cols>
    <col min="1" max="1" width="45" bestFit="1" customWidth="1"/>
    <col min="2" max="2" width="8.796875" bestFit="1" customWidth="1"/>
    <col min="3" max="4" width="10.73046875" bestFit="1" customWidth="1"/>
    <col min="5" max="5" width="11.3984375" bestFit="1" customWidth="1"/>
    <col min="6" max="6" width="10.265625" bestFit="1" customWidth="1"/>
    <col min="7" max="10" width="10.73046875" bestFit="1" customWidth="1"/>
  </cols>
  <sheetData>
    <row r="1" spans="1:13" ht="18.7" customHeight="1" x14ac:dyDescent="0.45">
      <c r="A1" s="640" t="s">
        <v>100</v>
      </c>
      <c r="B1" s="674" t="s">
        <v>24</v>
      </c>
      <c r="C1" s="670" t="s">
        <v>67</v>
      </c>
      <c r="D1" s="666"/>
      <c r="E1" s="671"/>
      <c r="F1" s="665" t="s">
        <v>63</v>
      </c>
      <c r="G1" s="666"/>
      <c r="H1" s="671"/>
      <c r="I1" s="683" t="s">
        <v>151</v>
      </c>
      <c r="J1" s="685" t="s">
        <v>115</v>
      </c>
      <c r="K1" s="687" t="s">
        <v>116</v>
      </c>
      <c r="L1" s="620" t="s">
        <v>152</v>
      </c>
      <c r="M1" s="679" t="s">
        <v>183</v>
      </c>
    </row>
    <row r="2" spans="1:13" ht="18.7" customHeight="1" thickBot="1" x14ac:dyDescent="0.5">
      <c r="A2" s="676"/>
      <c r="B2" s="675"/>
      <c r="C2" s="53" t="s">
        <v>68</v>
      </c>
      <c r="D2" s="31" t="s">
        <v>69</v>
      </c>
      <c r="E2" s="32" t="s">
        <v>66</v>
      </c>
      <c r="F2" s="30" t="s">
        <v>68</v>
      </c>
      <c r="G2" s="33" t="s">
        <v>69</v>
      </c>
      <c r="H2" s="90" t="s">
        <v>66</v>
      </c>
      <c r="I2" s="684"/>
      <c r="J2" s="686"/>
      <c r="K2" s="688"/>
      <c r="L2" s="682"/>
      <c r="M2" s="680"/>
    </row>
    <row r="3" spans="1:13" ht="14.65" customHeight="1" x14ac:dyDescent="0.45">
      <c r="A3" s="175" t="s">
        <v>101</v>
      </c>
      <c r="B3" s="97">
        <v>1</v>
      </c>
      <c r="C3" s="9">
        <v>0</v>
      </c>
      <c r="D3" s="54">
        <v>0</v>
      </c>
      <c r="E3" s="55">
        <f>D3-C3</f>
        <v>0</v>
      </c>
      <c r="F3" s="9">
        <v>2500</v>
      </c>
      <c r="G3" s="54">
        <v>0</v>
      </c>
      <c r="H3" s="91">
        <f>F3-G3</f>
        <v>2500</v>
      </c>
      <c r="I3" s="237">
        <v>0</v>
      </c>
      <c r="J3" s="119">
        <f>IF(H3&lt;0,IF(I3&gt;0,IF((H3*(-1))&gt;I3,I3,H3*(-1)),0),0)</f>
        <v>0</v>
      </c>
      <c r="K3" s="219">
        <f>IF(OR(J3&gt;I3,H3+I3&lt;0),makro1(),ROUNDDOWN(I3-J3,-1))</f>
        <v>0</v>
      </c>
      <c r="L3" s="357">
        <f>IF(H3&gt;0,ROUNDDOWN(H3,-1),0)</f>
        <v>2500</v>
      </c>
      <c r="M3" s="359">
        <f>(D3-G3+J3)-(C3-F3)</f>
        <v>2500</v>
      </c>
    </row>
    <row r="4" spans="1:13" x14ac:dyDescent="0.45">
      <c r="A4" s="176" t="s">
        <v>108</v>
      </c>
      <c r="B4" s="98">
        <v>1</v>
      </c>
      <c r="C4" s="12">
        <v>0</v>
      </c>
      <c r="D4" s="58">
        <v>0</v>
      </c>
      <c r="E4" s="55">
        <f t="shared" ref="E4:E13" si="0">D4-C4</f>
        <v>0</v>
      </c>
      <c r="F4" s="12">
        <v>50</v>
      </c>
      <c r="G4" s="58">
        <v>0</v>
      </c>
      <c r="H4" s="92">
        <f t="shared" ref="H4:H13" si="1">F4-G4</f>
        <v>50</v>
      </c>
      <c r="I4" s="237">
        <v>150</v>
      </c>
      <c r="J4" s="119">
        <f t="shared" ref="J4:J11" si="2">IF(H4&lt;0,IF(I4&gt;0,IF((H4*(-1))&gt;I4,I4,H4*(-1)),0),0)</f>
        <v>0</v>
      </c>
      <c r="K4" s="219">
        <f>IF(OR(J4&gt;I4,H4+I4&lt;0),makro1(),ROUNDDOWN(I4-J4,-1))</f>
        <v>150</v>
      </c>
      <c r="L4" s="357">
        <f t="shared" ref="L4:L11" si="3">IF(H4&gt;0,ROUNDDOWN(H4,-1),0)</f>
        <v>50</v>
      </c>
      <c r="M4" s="360">
        <f t="shared" ref="M4:M14" si="4">(D4-G4+J4)-(C4-F4)</f>
        <v>50</v>
      </c>
    </row>
    <row r="5" spans="1:13" s="245" customFormat="1" ht="30" customHeight="1" x14ac:dyDescent="0.3">
      <c r="A5" s="177" t="s">
        <v>102</v>
      </c>
      <c r="B5" s="103">
        <v>1</v>
      </c>
      <c r="C5" s="64">
        <v>0</v>
      </c>
      <c r="D5" s="71">
        <v>0</v>
      </c>
      <c r="E5" s="72">
        <f t="shared" si="0"/>
        <v>0</v>
      </c>
      <c r="F5" s="64">
        <v>100</v>
      </c>
      <c r="G5" s="71">
        <v>0</v>
      </c>
      <c r="H5" s="93">
        <f t="shared" si="1"/>
        <v>100</v>
      </c>
      <c r="I5" s="243">
        <v>200</v>
      </c>
      <c r="J5" s="119">
        <f t="shared" si="2"/>
        <v>0</v>
      </c>
      <c r="K5" s="219">
        <f>IF(OR(J5&gt;I5,H5+I5&lt;0),makro1(),ROUNDDOWN(I5-J5,-1))</f>
        <v>200</v>
      </c>
      <c r="L5" s="358">
        <f t="shared" si="3"/>
        <v>100</v>
      </c>
      <c r="M5" s="360">
        <f t="shared" si="4"/>
        <v>100</v>
      </c>
    </row>
    <row r="6" spans="1:13" x14ac:dyDescent="0.45">
      <c r="A6" s="178" t="s">
        <v>103</v>
      </c>
      <c r="B6" s="99">
        <v>1</v>
      </c>
      <c r="C6" s="9">
        <v>0</v>
      </c>
      <c r="D6" s="54">
        <v>0</v>
      </c>
      <c r="E6" s="55">
        <f t="shared" si="0"/>
        <v>0</v>
      </c>
      <c r="F6" s="9">
        <v>50</v>
      </c>
      <c r="G6" s="54">
        <v>0</v>
      </c>
      <c r="H6" s="91">
        <f t="shared" si="1"/>
        <v>50</v>
      </c>
      <c r="I6" s="237">
        <v>150</v>
      </c>
      <c r="J6" s="119">
        <f t="shared" si="2"/>
        <v>0</v>
      </c>
      <c r="K6" s="219">
        <f>IF(OR(J6&gt;I6,H6+I6&lt;0),makro1(),ROUNDDOWN(I6-J6,-1))</f>
        <v>150</v>
      </c>
      <c r="L6" s="357">
        <f t="shared" si="3"/>
        <v>50</v>
      </c>
      <c r="M6" s="360">
        <f t="shared" si="4"/>
        <v>50</v>
      </c>
    </row>
    <row r="7" spans="1:13" s="63" customFormat="1" ht="14.65" customHeight="1" x14ac:dyDescent="0.3">
      <c r="A7" s="177" t="s">
        <v>118</v>
      </c>
      <c r="B7" s="103">
        <v>1</v>
      </c>
      <c r="C7" s="64">
        <v>0</v>
      </c>
      <c r="D7" s="71">
        <v>0</v>
      </c>
      <c r="E7" s="72">
        <f t="shared" si="0"/>
        <v>0</v>
      </c>
      <c r="F7" s="64">
        <v>150</v>
      </c>
      <c r="G7" s="71">
        <v>0</v>
      </c>
      <c r="H7" s="93">
        <f t="shared" si="1"/>
        <v>150</v>
      </c>
      <c r="I7" s="237">
        <v>150</v>
      </c>
      <c r="J7" s="119">
        <f t="shared" si="2"/>
        <v>0</v>
      </c>
      <c r="K7" s="219">
        <f>IF(OR(J7&gt;I7,H7+I7&lt;0),makro1(),ROUNDDOWN(I7-J7,-1))</f>
        <v>150</v>
      </c>
      <c r="L7" s="357">
        <f t="shared" si="3"/>
        <v>150</v>
      </c>
      <c r="M7" s="360">
        <f t="shared" si="4"/>
        <v>150</v>
      </c>
    </row>
    <row r="8" spans="1:13" x14ac:dyDescent="0.45">
      <c r="A8" s="176" t="s">
        <v>104</v>
      </c>
      <c r="B8" s="98">
        <v>1</v>
      </c>
      <c r="C8" s="12">
        <v>0</v>
      </c>
      <c r="D8" s="58">
        <v>0</v>
      </c>
      <c r="E8" s="55">
        <f t="shared" si="0"/>
        <v>0</v>
      </c>
      <c r="F8" s="12">
        <v>500</v>
      </c>
      <c r="G8" s="58">
        <v>0</v>
      </c>
      <c r="H8" s="92">
        <f t="shared" si="1"/>
        <v>500</v>
      </c>
      <c r="I8" s="237">
        <v>1000</v>
      </c>
      <c r="J8" s="119">
        <f t="shared" si="2"/>
        <v>0</v>
      </c>
      <c r="K8" s="219">
        <f>IF(OR(J8&gt;I8,H8+I8&lt;0),makro1(),ROUNDDOWN(I8-J8,-1))</f>
        <v>1000</v>
      </c>
      <c r="L8" s="357">
        <f t="shared" si="3"/>
        <v>500</v>
      </c>
      <c r="M8" s="360">
        <f t="shared" si="4"/>
        <v>500</v>
      </c>
    </row>
    <row r="9" spans="1:13" ht="14.65" customHeight="1" x14ac:dyDescent="0.45">
      <c r="A9" s="178" t="s">
        <v>105</v>
      </c>
      <c r="B9" s="99">
        <v>1</v>
      </c>
      <c r="C9" s="9">
        <v>0</v>
      </c>
      <c r="D9" s="54">
        <v>0</v>
      </c>
      <c r="E9" s="55">
        <f t="shared" si="0"/>
        <v>0</v>
      </c>
      <c r="F9" s="9">
        <v>2500</v>
      </c>
      <c r="G9" s="54">
        <v>0</v>
      </c>
      <c r="H9" s="91">
        <f t="shared" si="1"/>
        <v>2500</v>
      </c>
      <c r="I9" s="237">
        <v>2150</v>
      </c>
      <c r="J9" s="119">
        <f t="shared" si="2"/>
        <v>0</v>
      </c>
      <c r="K9" s="219">
        <f>IF(OR(J9&gt;I9,H9+I9&lt;0),makro1(),ROUNDDOWN(I9-J9,-1))</f>
        <v>2150</v>
      </c>
      <c r="L9" s="357">
        <f t="shared" si="3"/>
        <v>2500</v>
      </c>
      <c r="M9" s="360">
        <f t="shared" si="4"/>
        <v>2500</v>
      </c>
    </row>
    <row r="10" spans="1:13" ht="14.65" customHeight="1" x14ac:dyDescent="0.45">
      <c r="A10" s="178" t="s">
        <v>247</v>
      </c>
      <c r="B10" s="99">
        <v>1</v>
      </c>
      <c r="C10" s="9">
        <v>250</v>
      </c>
      <c r="D10" s="54">
        <v>0</v>
      </c>
      <c r="E10" s="55">
        <f t="shared" ref="E10" si="5">D10-C10</f>
        <v>-250</v>
      </c>
      <c r="F10" s="9">
        <v>550</v>
      </c>
      <c r="G10" s="54">
        <v>0</v>
      </c>
      <c r="H10" s="91">
        <f t="shared" ref="H10" si="6">F10-G10</f>
        <v>550</v>
      </c>
      <c r="I10" s="237">
        <v>500</v>
      </c>
      <c r="J10" s="119">
        <f t="shared" ref="J10" si="7">IF(H10&lt;0,IF(I10&gt;0,IF((H10*(-1))&gt;I10,I10,H10*(-1)),0),0)</f>
        <v>0</v>
      </c>
      <c r="K10" s="219">
        <f>IF(OR(J10&gt;I10,H10+I10&lt;0),makro1(),ROUNDDOWN(I10-J10,-1))</f>
        <v>500</v>
      </c>
      <c r="L10" s="357">
        <f t="shared" ref="L10" si="8">IF(H10&gt;0,ROUNDDOWN(H10,-1),0)</f>
        <v>550</v>
      </c>
      <c r="M10" s="360">
        <f t="shared" ref="M10" si="9">(D10-G10+J10)-(C10-F10)</f>
        <v>300</v>
      </c>
    </row>
    <row r="11" spans="1:13" x14ac:dyDescent="0.45">
      <c r="A11" s="179" t="s">
        <v>109</v>
      </c>
      <c r="B11" s="98">
        <v>1</v>
      </c>
      <c r="C11" s="42">
        <v>0</v>
      </c>
      <c r="D11" s="56">
        <v>0</v>
      </c>
      <c r="E11" s="55">
        <f t="shared" si="0"/>
        <v>0</v>
      </c>
      <c r="F11" s="42">
        <v>50</v>
      </c>
      <c r="G11" s="56">
        <v>0</v>
      </c>
      <c r="H11" s="94">
        <f t="shared" si="1"/>
        <v>50</v>
      </c>
      <c r="I11" s="237">
        <v>100</v>
      </c>
      <c r="J11" s="119">
        <f t="shared" si="2"/>
        <v>0</v>
      </c>
      <c r="K11" s="219">
        <f>IF(OR(J11&gt;I11,H11+I11&lt;0),makro1(),ROUNDDOWN(I11-J11,-1))</f>
        <v>100</v>
      </c>
      <c r="L11" s="357">
        <f t="shared" si="3"/>
        <v>50</v>
      </c>
      <c r="M11" s="360">
        <f t="shared" si="4"/>
        <v>50</v>
      </c>
    </row>
    <row r="12" spans="1:13" x14ac:dyDescent="0.45">
      <c r="A12" s="179" t="s">
        <v>260</v>
      </c>
      <c r="B12" s="98">
        <v>1</v>
      </c>
      <c r="C12" s="42">
        <v>1400</v>
      </c>
      <c r="D12" s="56">
        <v>0</v>
      </c>
      <c r="E12" s="55">
        <f t="shared" ref="E12" si="10">D12-C12</f>
        <v>-1400</v>
      </c>
      <c r="F12" s="42">
        <v>1500</v>
      </c>
      <c r="G12" s="56">
        <v>0</v>
      </c>
      <c r="H12" s="94">
        <f t="shared" ref="H12" si="11">F12-G12</f>
        <v>1500</v>
      </c>
      <c r="I12" s="237">
        <v>0</v>
      </c>
      <c r="J12" s="119">
        <f t="shared" ref="J12" si="12">IF(H12&lt;0,IF(I12&gt;0,IF((H12*(-1))&gt;I12,I12,H12*(-1)),0),0)</f>
        <v>0</v>
      </c>
      <c r="K12" s="219">
        <f>IF(OR(J12&gt;I12,H12+I12&lt;0),makro1(),ROUNDDOWN(I12-J12,-1))</f>
        <v>0</v>
      </c>
      <c r="L12" s="357">
        <f t="shared" ref="L12" si="13">IF(H12&gt;0,ROUNDDOWN(H12,-1),0)</f>
        <v>1500</v>
      </c>
      <c r="M12" s="360">
        <f t="shared" ref="M12" si="14">(D12-G12+J12)-(C12-F12)</f>
        <v>100</v>
      </c>
    </row>
    <row r="13" spans="1:13" ht="15" customHeight="1" thickBot="1" x14ac:dyDescent="0.5">
      <c r="A13" s="180" t="s">
        <v>226</v>
      </c>
      <c r="B13" s="100">
        <v>1</v>
      </c>
      <c r="C13" s="42">
        <v>0</v>
      </c>
      <c r="D13" s="56">
        <v>0</v>
      </c>
      <c r="E13" s="55">
        <f t="shared" si="0"/>
        <v>0</v>
      </c>
      <c r="F13" s="42">
        <v>250</v>
      </c>
      <c r="G13" s="56">
        <v>0</v>
      </c>
      <c r="H13" s="94">
        <f t="shared" si="1"/>
        <v>250</v>
      </c>
      <c r="I13" s="677"/>
      <c r="J13" s="678"/>
      <c r="K13" s="678"/>
      <c r="L13" s="678"/>
      <c r="M13" s="365"/>
    </row>
    <row r="14" spans="1:13" s="252" customFormat="1" ht="14.65" thickBot="1" x14ac:dyDescent="0.5">
      <c r="A14" s="672" t="s">
        <v>65</v>
      </c>
      <c r="B14" s="673"/>
      <c r="C14" s="44">
        <f t="shared" ref="C14:H14" si="15">SUM(C3:C13)</f>
        <v>1650</v>
      </c>
      <c r="D14" s="43">
        <f t="shared" si="15"/>
        <v>0</v>
      </c>
      <c r="E14" s="43">
        <f t="shared" si="15"/>
        <v>-1650</v>
      </c>
      <c r="F14" s="24">
        <f t="shared" si="15"/>
        <v>8200</v>
      </c>
      <c r="G14" s="43">
        <f t="shared" si="15"/>
        <v>0</v>
      </c>
      <c r="H14" s="95">
        <f t="shared" si="15"/>
        <v>8200</v>
      </c>
      <c r="I14" s="248">
        <f>SUM(I3:I11)</f>
        <v>4400</v>
      </c>
      <c r="J14" s="249">
        <f>SUM(J3:J11)</f>
        <v>0</v>
      </c>
      <c r="K14" s="250">
        <f>SUM(K3:K11)</f>
        <v>4400</v>
      </c>
      <c r="L14" s="364">
        <f>SUM(L3:L11)</f>
        <v>6450</v>
      </c>
      <c r="M14" s="363">
        <f t="shared" si="4"/>
        <v>6550</v>
      </c>
    </row>
    <row r="15" spans="1:13" ht="14.65" thickBot="1" x14ac:dyDescent="0.5">
      <c r="A15" s="681"/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</row>
    <row r="16" spans="1:13" ht="18.7" customHeight="1" x14ac:dyDescent="0.45">
      <c r="A16" s="640" t="s">
        <v>97</v>
      </c>
      <c r="B16" s="674" t="s">
        <v>24</v>
      </c>
      <c r="C16" s="670" t="s">
        <v>67</v>
      </c>
      <c r="D16" s="666"/>
      <c r="E16" s="671"/>
      <c r="F16" s="665" t="s">
        <v>63</v>
      </c>
      <c r="G16" s="666"/>
      <c r="H16" s="671"/>
      <c r="I16" s="683" t="s">
        <v>151</v>
      </c>
      <c r="J16" s="685" t="s">
        <v>115</v>
      </c>
      <c r="K16" s="687" t="s">
        <v>116</v>
      </c>
      <c r="L16" s="620" t="s">
        <v>152</v>
      </c>
      <c r="M16" s="679" t="s">
        <v>183</v>
      </c>
    </row>
    <row r="17" spans="1:13" ht="18.7" customHeight="1" thickBot="1" x14ac:dyDescent="0.5">
      <c r="A17" s="676"/>
      <c r="B17" s="675"/>
      <c r="C17" s="53" t="s">
        <v>68</v>
      </c>
      <c r="D17" s="31" t="s">
        <v>69</v>
      </c>
      <c r="E17" s="32" t="s">
        <v>66</v>
      </c>
      <c r="F17" s="30" t="s">
        <v>68</v>
      </c>
      <c r="G17" s="33" t="s">
        <v>69</v>
      </c>
      <c r="H17" s="90" t="s">
        <v>66</v>
      </c>
      <c r="I17" s="684"/>
      <c r="J17" s="686"/>
      <c r="K17" s="688"/>
      <c r="L17" s="682"/>
      <c r="M17" s="680"/>
    </row>
    <row r="18" spans="1:13" ht="15" customHeight="1" x14ac:dyDescent="0.45">
      <c r="A18" s="181" t="s">
        <v>98</v>
      </c>
      <c r="B18" s="97">
        <v>1</v>
      </c>
      <c r="C18" s="9">
        <v>0</v>
      </c>
      <c r="D18" s="54">
        <v>0</v>
      </c>
      <c r="E18" s="55">
        <f>D18-C18</f>
        <v>0</v>
      </c>
      <c r="F18" s="9">
        <v>500</v>
      </c>
      <c r="G18" s="54">
        <v>0</v>
      </c>
      <c r="H18" s="91">
        <f>F18-G18</f>
        <v>500</v>
      </c>
      <c r="I18" s="237">
        <v>1000</v>
      </c>
      <c r="J18" s="119">
        <f t="shared" ref="J18:J19" si="16">IF(H18&lt;0,IF(I18&gt;0,IF((H18*(-1))&gt;I18,I18,H18*(-1)),0),0)</f>
        <v>0</v>
      </c>
      <c r="K18" s="219">
        <f>IF(OR(J18&gt;I18,H18+I18&lt;0),makro1(),ROUNDDOWN(I18-J18,-1))</f>
        <v>1000</v>
      </c>
      <c r="L18" s="357">
        <f t="shared" ref="L18:L19" si="17">IF(H18&gt;0,ROUNDDOWN(H18,-1),0)</f>
        <v>500</v>
      </c>
      <c r="M18" s="359">
        <f>(D18-G18+J18)-(C18-F18)</f>
        <v>500</v>
      </c>
    </row>
    <row r="19" spans="1:13" ht="15" customHeight="1" x14ac:dyDescent="0.45">
      <c r="A19" s="182" t="s">
        <v>99</v>
      </c>
      <c r="B19" s="102">
        <v>0.5</v>
      </c>
      <c r="C19" s="69">
        <v>0</v>
      </c>
      <c r="D19" s="70">
        <v>0</v>
      </c>
      <c r="E19" s="55">
        <f>D19-C19</f>
        <v>0</v>
      </c>
      <c r="F19" s="69">
        <v>2000</v>
      </c>
      <c r="G19" s="70">
        <v>0</v>
      </c>
      <c r="H19" s="91">
        <f>F19-G19</f>
        <v>2000</v>
      </c>
      <c r="I19" s="237">
        <v>1000</v>
      </c>
      <c r="J19" s="119">
        <f t="shared" si="16"/>
        <v>0</v>
      </c>
      <c r="K19" s="219">
        <f>IF(OR(J19&gt;I19,H19+I19&lt;0),makro1(),ROUNDDOWN(I19-J19,-1))</f>
        <v>1000</v>
      </c>
      <c r="L19" s="357">
        <f t="shared" si="17"/>
        <v>2000</v>
      </c>
      <c r="M19" s="360">
        <f t="shared" ref="M19:M22" si="18">(D19-G19+J19)-(C19-F19)</f>
        <v>2000</v>
      </c>
    </row>
    <row r="20" spans="1:13" ht="14.65" thickBot="1" x14ac:dyDescent="0.5">
      <c r="A20" s="180" t="s">
        <v>254</v>
      </c>
      <c r="B20" s="101">
        <v>1</v>
      </c>
      <c r="C20" s="42">
        <v>0</v>
      </c>
      <c r="D20" s="56">
        <v>0</v>
      </c>
      <c r="E20" s="55">
        <f>D20-C20</f>
        <v>0</v>
      </c>
      <c r="F20" s="42">
        <v>1000</v>
      </c>
      <c r="G20" s="56">
        <v>0</v>
      </c>
      <c r="H20" s="94">
        <f>F20-G20</f>
        <v>1000</v>
      </c>
      <c r="I20" s="677"/>
      <c r="J20" s="678"/>
      <c r="K20" s="678"/>
      <c r="L20" s="678"/>
      <c r="M20" s="360">
        <f t="shared" ref="M20" si="19">(D20-G20+J20)-(C20-F20)</f>
        <v>1000</v>
      </c>
    </row>
    <row r="21" spans="1:13" ht="14.65" thickBot="1" x14ac:dyDescent="0.5">
      <c r="A21" s="180" t="s">
        <v>226</v>
      </c>
      <c r="B21" s="101">
        <v>1</v>
      </c>
      <c r="C21" s="42">
        <v>0</v>
      </c>
      <c r="D21" s="56">
        <v>0</v>
      </c>
      <c r="E21" s="55">
        <f>D21-C21</f>
        <v>0</v>
      </c>
      <c r="F21" s="42">
        <v>250</v>
      </c>
      <c r="G21" s="56">
        <v>0</v>
      </c>
      <c r="H21" s="94">
        <f>F21-G21</f>
        <v>250</v>
      </c>
      <c r="I21" s="677"/>
      <c r="J21" s="678"/>
      <c r="K21" s="678"/>
      <c r="L21" s="678"/>
      <c r="M21" s="360">
        <f t="shared" si="18"/>
        <v>250</v>
      </c>
    </row>
    <row r="22" spans="1:13" s="252" customFormat="1" ht="14.65" thickBot="1" x14ac:dyDescent="0.5">
      <c r="A22" s="672" t="s">
        <v>65</v>
      </c>
      <c r="B22" s="673"/>
      <c r="C22" s="44">
        <f t="shared" ref="C22:H22" si="20">SUM(C18:C21)</f>
        <v>0</v>
      </c>
      <c r="D22" s="43">
        <f t="shared" si="20"/>
        <v>0</v>
      </c>
      <c r="E22" s="43">
        <f t="shared" si="20"/>
        <v>0</v>
      </c>
      <c r="F22" s="24">
        <f t="shared" si="20"/>
        <v>3750</v>
      </c>
      <c r="G22" s="43">
        <f t="shared" si="20"/>
        <v>0</v>
      </c>
      <c r="H22" s="95">
        <f t="shared" si="20"/>
        <v>3750</v>
      </c>
      <c r="I22" s="248">
        <f>SUM(I18:I19)</f>
        <v>2000</v>
      </c>
      <c r="J22" s="249">
        <f>SUM(J18:J19)</f>
        <v>0</v>
      </c>
      <c r="K22" s="250">
        <f>SUM(K18:K19)</f>
        <v>2000</v>
      </c>
      <c r="L22" s="364">
        <f>SUM(L18:L19)</f>
        <v>2500</v>
      </c>
      <c r="M22" s="363">
        <f t="shared" si="18"/>
        <v>3750</v>
      </c>
    </row>
    <row r="23" spans="1:13" x14ac:dyDescent="0.4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3" x14ac:dyDescent="0.4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3" x14ac:dyDescent="0.4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</sheetData>
  <mergeCells count="24">
    <mergeCell ref="I20:L20"/>
    <mergeCell ref="I21:L21"/>
    <mergeCell ref="M1:M2"/>
    <mergeCell ref="M16:M17"/>
    <mergeCell ref="A15:M15"/>
    <mergeCell ref="L1:L2"/>
    <mergeCell ref="I1:I2"/>
    <mergeCell ref="J1:J2"/>
    <mergeCell ref="K1:K2"/>
    <mergeCell ref="I16:I17"/>
    <mergeCell ref="J16:J17"/>
    <mergeCell ref="K16:K17"/>
    <mergeCell ref="I13:L13"/>
    <mergeCell ref="L16:L17"/>
    <mergeCell ref="A22:B22"/>
    <mergeCell ref="B1:B2"/>
    <mergeCell ref="A1:A2"/>
    <mergeCell ref="C1:E1"/>
    <mergeCell ref="F1:H1"/>
    <mergeCell ref="A14:B14"/>
    <mergeCell ref="A16:A17"/>
    <mergeCell ref="B16:B17"/>
    <mergeCell ref="C16:E16"/>
    <mergeCell ref="F16:H1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I7"/>
  <sheetViews>
    <sheetView workbookViewId="0">
      <selection activeCell="G6" sqref="G6"/>
    </sheetView>
  </sheetViews>
  <sheetFormatPr baseColWidth="10" defaultRowHeight="14.25" x14ac:dyDescent="0.45"/>
  <cols>
    <col min="1" max="2" width="27" bestFit="1" customWidth="1"/>
    <col min="3" max="3" width="8.73046875" bestFit="1" customWidth="1"/>
    <col min="5" max="5" width="12.265625" bestFit="1" customWidth="1"/>
    <col min="6" max="6" width="11.53125" bestFit="1" customWidth="1"/>
    <col min="8" max="8" width="11.265625" bestFit="1" customWidth="1"/>
  </cols>
  <sheetData>
    <row r="1" spans="1:9" ht="15" customHeight="1" x14ac:dyDescent="0.45">
      <c r="A1" s="640" t="s">
        <v>6</v>
      </c>
      <c r="B1" s="140"/>
      <c r="C1" s="674" t="s">
        <v>24</v>
      </c>
      <c r="D1" s="670" t="s">
        <v>67</v>
      </c>
      <c r="E1" s="666"/>
      <c r="F1" s="671"/>
      <c r="G1" s="665" t="s">
        <v>63</v>
      </c>
      <c r="H1" s="666"/>
      <c r="I1" s="667"/>
    </row>
    <row r="2" spans="1:9" ht="15.75" customHeight="1" thickBot="1" x14ac:dyDescent="0.5">
      <c r="A2" s="676"/>
      <c r="B2" s="141"/>
      <c r="C2" s="675"/>
      <c r="D2" s="53" t="s">
        <v>68</v>
      </c>
      <c r="E2" s="31" t="s">
        <v>69</v>
      </c>
      <c r="F2" s="32" t="s">
        <v>66</v>
      </c>
      <c r="G2" s="30" t="s">
        <v>68</v>
      </c>
      <c r="H2" s="33" t="s">
        <v>69</v>
      </c>
      <c r="I2" s="34" t="s">
        <v>66</v>
      </c>
    </row>
    <row r="3" spans="1:9" x14ac:dyDescent="0.45">
      <c r="A3" s="181" t="s">
        <v>30</v>
      </c>
      <c r="B3" s="183" t="s">
        <v>88</v>
      </c>
      <c r="C3" s="97">
        <v>12</v>
      </c>
      <c r="D3" s="9">
        <v>0</v>
      </c>
      <c r="E3" s="54">
        <v>0</v>
      </c>
      <c r="F3" s="55">
        <f>E3-D3</f>
        <v>0</v>
      </c>
      <c r="G3" s="9">
        <v>400</v>
      </c>
      <c r="H3" s="54">
        <v>0</v>
      </c>
      <c r="I3" s="55">
        <f>G3-H3</f>
        <v>400</v>
      </c>
    </row>
    <row r="4" spans="1:9" ht="14.65" thickBot="1" x14ac:dyDescent="0.5">
      <c r="A4" s="180" t="s">
        <v>90</v>
      </c>
      <c r="B4" s="184" t="s">
        <v>89</v>
      </c>
      <c r="C4" s="101">
        <v>12</v>
      </c>
      <c r="D4" s="42">
        <v>0</v>
      </c>
      <c r="E4" s="56">
        <v>0</v>
      </c>
      <c r="F4" s="55">
        <f>E4-D4</f>
        <v>0</v>
      </c>
      <c r="G4" s="42">
        <v>1000</v>
      </c>
      <c r="H4" s="56">
        <v>0</v>
      </c>
      <c r="I4" s="57">
        <f>G4-H4</f>
        <v>1000</v>
      </c>
    </row>
    <row r="5" spans="1:9" ht="14.65" thickBot="1" x14ac:dyDescent="0.5">
      <c r="A5" s="180" t="s">
        <v>226</v>
      </c>
      <c r="B5" s="184"/>
      <c r="C5" s="101"/>
      <c r="D5" s="42">
        <v>0</v>
      </c>
      <c r="E5" s="56">
        <v>0</v>
      </c>
      <c r="F5" s="55">
        <f>E5-D5</f>
        <v>0</v>
      </c>
      <c r="G5" s="42">
        <v>250</v>
      </c>
      <c r="H5" s="56">
        <v>0</v>
      </c>
      <c r="I5" s="57">
        <f>G5-H5</f>
        <v>250</v>
      </c>
    </row>
    <row r="6" spans="1:9" ht="14.65" thickBot="1" x14ac:dyDescent="0.5">
      <c r="A6" s="672" t="s">
        <v>65</v>
      </c>
      <c r="B6" s="689"/>
      <c r="C6" s="673"/>
      <c r="D6" s="44">
        <f t="shared" ref="D6:I6" si="0">SUM(D3:D5)</f>
        <v>0</v>
      </c>
      <c r="E6" s="43">
        <f t="shared" si="0"/>
        <v>0</v>
      </c>
      <c r="F6" s="43">
        <f t="shared" si="0"/>
        <v>0</v>
      </c>
      <c r="G6" s="24">
        <f t="shared" si="0"/>
        <v>1650</v>
      </c>
      <c r="H6" s="43">
        <f t="shared" si="0"/>
        <v>0</v>
      </c>
      <c r="I6" s="24">
        <f t="shared" si="0"/>
        <v>1650</v>
      </c>
    </row>
    <row r="7" spans="1:9" x14ac:dyDescent="0.45">
      <c r="A7" s="150"/>
      <c r="B7" s="150"/>
      <c r="C7" s="150"/>
      <c r="D7" s="150"/>
      <c r="E7" s="150"/>
      <c r="F7" s="150"/>
      <c r="G7" s="150"/>
      <c r="H7" s="150"/>
      <c r="I7" s="150"/>
    </row>
  </sheetData>
  <customSheetViews>
    <customSheetView guid="{DCE90488-5D47-411B-84E2-3F0A7D96BA08}">
      <selection activeCell="F3" sqref="F3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5">
    <mergeCell ref="A6:C6"/>
    <mergeCell ref="A1:A2"/>
    <mergeCell ref="C1:C2"/>
    <mergeCell ref="G1:I1"/>
    <mergeCell ref="D1:F1"/>
  </mergeCell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Hinweise</vt:lpstr>
      <vt:lpstr>Deckblatt</vt:lpstr>
      <vt:lpstr>Beitragsermittlung</vt:lpstr>
      <vt:lpstr>fortgeschr. Mittel+Konto</vt:lpstr>
      <vt:lpstr>Mindestreserve</vt:lpstr>
      <vt:lpstr>Detailblatt I</vt:lpstr>
      <vt:lpstr>Detailblatt II</vt:lpstr>
      <vt:lpstr>Schulungen &amp; Konferenzen</vt:lpstr>
      <vt:lpstr>Finanzen</vt:lpstr>
      <vt:lpstr>Hochschulpolitik</vt:lpstr>
      <vt:lpstr>Internationales</vt:lpstr>
      <vt:lpstr>Kultur</vt:lpstr>
      <vt:lpstr>Öffentlichkeitsarbeit</vt:lpstr>
      <vt:lpstr>Qualitätsmanagement</vt:lpstr>
      <vt:lpstr>Soziales</vt:lpstr>
      <vt:lpstr>Sport</vt:lpstr>
      <vt:lpstr>Studium</vt:lpstr>
      <vt:lpstr>Studentische Verwaltung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StuRa Haushaltsplan</dc:title>
  <dc:creator>Benjamin Weber</dc:creator>
  <cp:keywords>StuRa Haushaltsplan</cp:keywords>
  <cp:lastModifiedBy>Julia Wetzlich</cp:lastModifiedBy>
  <cp:lastPrinted>2019-11-11T16:40:36Z</cp:lastPrinted>
  <dcterms:created xsi:type="dcterms:W3CDTF">2015-12-18T11:13:43Z</dcterms:created>
  <dcterms:modified xsi:type="dcterms:W3CDTF">2019-12-11T17:42:37Z</dcterms:modified>
</cp:coreProperties>
</file>